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8.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9.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0.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11.xml" ContentType="application/vnd.openxmlformats-officedocument.drawing+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12.xml" ContentType="application/vnd.openxmlformats-officedocument.drawing+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13.xml" ContentType="application/vnd.openxmlformats-officedocument.drawing+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14.xml" ContentType="application/vnd.openxmlformats-officedocument.drawing+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drawings/drawing15.xml" ContentType="application/vnd.openxmlformats-officedocument.drawing+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drawings/drawing16.xml" ContentType="application/vnd.openxmlformats-officedocument.drawing+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drawings/drawing17.xml" ContentType="application/vnd.openxmlformats-officedocument.drawing+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drawings/drawing18.xml" ContentType="application/vnd.openxmlformats-officedocument.drawing+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drawings/drawing19.xml" ContentType="application/vnd.openxmlformats-officedocument.drawing+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drawings/drawing20.xml" ContentType="application/vnd.openxmlformats-officedocument.drawing+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drawings/drawing21.xml" ContentType="application/vnd.openxmlformats-officedocument.drawing+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drawings/drawing22.xml" ContentType="application/vnd.openxmlformats-officedocument.drawing+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drawings/drawing23.xml" ContentType="application/vnd.openxmlformats-officedocument.drawing+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drawings/drawing24.xml" ContentType="application/vnd.openxmlformats-officedocument.drawing+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charts/chart105.xml" ContentType="application/vnd.openxmlformats-officedocument.drawingml.chart+xml"/>
  <Override PartName="/xl/charts/style105.xml" ContentType="application/vnd.ms-office.chartstyle+xml"/>
  <Override PartName="/xl/charts/colors105.xml" ContentType="application/vnd.ms-office.chartcolorstyle+xml"/>
  <Override PartName="/xl/charts/chart106.xml" ContentType="application/vnd.openxmlformats-officedocument.drawingml.chart+xml"/>
  <Override PartName="/xl/charts/style106.xml" ContentType="application/vnd.ms-office.chartstyle+xml"/>
  <Override PartName="/xl/charts/colors106.xml" ContentType="application/vnd.ms-office.chartcolorstyle+xml"/>
  <Override PartName="/xl/drawings/drawing25.xml" ContentType="application/vnd.openxmlformats-officedocument.drawing+xml"/>
  <Override PartName="/xl/charts/chart107.xml" ContentType="application/vnd.openxmlformats-officedocument.drawingml.chart+xml"/>
  <Override PartName="/xl/charts/style107.xml" ContentType="application/vnd.ms-office.chartstyle+xml"/>
  <Override PartName="/xl/charts/colors107.xml" ContentType="application/vnd.ms-office.chartcolorstyle+xml"/>
  <Override PartName="/xl/charts/chart108.xml" ContentType="application/vnd.openxmlformats-officedocument.drawingml.chart+xml"/>
  <Override PartName="/xl/charts/style108.xml" ContentType="application/vnd.ms-office.chartstyle+xml"/>
  <Override PartName="/xl/charts/colors108.xml" ContentType="application/vnd.ms-office.chartcolorstyle+xml"/>
  <Override PartName="/xl/charts/chart109.xml" ContentType="application/vnd.openxmlformats-officedocument.drawingml.chart+xml"/>
  <Override PartName="/xl/charts/style109.xml" ContentType="application/vnd.ms-office.chartstyle+xml"/>
  <Override PartName="/xl/charts/colors109.xml" ContentType="application/vnd.ms-office.chartcolorstyle+xml"/>
  <Override PartName="/xl/charts/chart110.xml" ContentType="application/vnd.openxmlformats-officedocument.drawingml.chart+xml"/>
  <Override PartName="/xl/charts/style110.xml" ContentType="application/vnd.ms-office.chartstyle+xml"/>
  <Override PartName="/xl/charts/colors110.xml" ContentType="application/vnd.ms-office.chartcolorstyle+xml"/>
  <Override PartName="/xl/charts/chart111.xml" ContentType="application/vnd.openxmlformats-officedocument.drawingml.chart+xml"/>
  <Override PartName="/xl/charts/style111.xml" ContentType="application/vnd.ms-office.chartstyle+xml"/>
  <Override PartName="/xl/charts/colors111.xml" ContentType="application/vnd.ms-office.chartcolorstyle+xml"/>
  <Override PartName="/xl/drawings/drawing26.xml" ContentType="application/vnd.openxmlformats-officedocument.drawing+xml"/>
  <Override PartName="/xl/charts/chart112.xml" ContentType="application/vnd.openxmlformats-officedocument.drawingml.chart+xml"/>
  <Override PartName="/xl/charts/style112.xml" ContentType="application/vnd.ms-office.chartstyle+xml"/>
  <Override PartName="/xl/charts/colors112.xml" ContentType="application/vnd.ms-office.chartcolorstyle+xml"/>
  <Override PartName="/xl/charts/chart113.xml" ContentType="application/vnd.openxmlformats-officedocument.drawingml.chart+xml"/>
  <Override PartName="/xl/charts/style113.xml" ContentType="application/vnd.ms-office.chartstyle+xml"/>
  <Override PartName="/xl/charts/colors113.xml" ContentType="application/vnd.ms-office.chartcolorstyle+xml"/>
  <Override PartName="/xl/charts/chart114.xml" ContentType="application/vnd.openxmlformats-officedocument.drawingml.chart+xml"/>
  <Override PartName="/xl/charts/style114.xml" ContentType="application/vnd.ms-office.chartstyle+xml"/>
  <Override PartName="/xl/charts/colors114.xml" ContentType="application/vnd.ms-office.chartcolorstyle+xml"/>
  <Override PartName="/xl/charts/chart115.xml" ContentType="application/vnd.openxmlformats-officedocument.drawingml.chart+xml"/>
  <Override PartName="/xl/charts/style115.xml" ContentType="application/vnd.ms-office.chartstyle+xml"/>
  <Override PartName="/xl/charts/colors115.xml" ContentType="application/vnd.ms-office.chartcolorstyle+xml"/>
  <Override PartName="/xl/charts/chart116.xml" ContentType="application/vnd.openxmlformats-officedocument.drawingml.chart+xml"/>
  <Override PartName="/xl/charts/style116.xml" ContentType="application/vnd.ms-office.chartstyle+xml"/>
  <Override PartName="/xl/charts/colors116.xml" ContentType="application/vnd.ms-office.chartcolorstyle+xml"/>
  <Override PartName="/xl/drawings/drawing27.xml" ContentType="application/vnd.openxmlformats-officedocument.drawing+xml"/>
  <Override PartName="/xl/charts/chart117.xml" ContentType="application/vnd.openxmlformats-officedocument.drawingml.chart+xml"/>
  <Override PartName="/xl/charts/style117.xml" ContentType="application/vnd.ms-office.chartstyle+xml"/>
  <Override PartName="/xl/charts/colors117.xml" ContentType="application/vnd.ms-office.chartcolorstyle+xml"/>
  <Override PartName="/xl/charts/chart118.xml" ContentType="application/vnd.openxmlformats-officedocument.drawingml.chart+xml"/>
  <Override PartName="/xl/charts/style118.xml" ContentType="application/vnd.ms-office.chartstyle+xml"/>
  <Override PartName="/xl/charts/colors118.xml" ContentType="application/vnd.ms-office.chartcolorstyle+xml"/>
  <Override PartName="/xl/charts/chart119.xml" ContentType="application/vnd.openxmlformats-officedocument.drawingml.chart+xml"/>
  <Override PartName="/xl/charts/style119.xml" ContentType="application/vnd.ms-office.chartstyle+xml"/>
  <Override PartName="/xl/charts/colors119.xml" ContentType="application/vnd.ms-office.chartcolorstyle+xml"/>
  <Override PartName="/xl/charts/chart120.xml" ContentType="application/vnd.openxmlformats-officedocument.drawingml.chart+xml"/>
  <Override PartName="/xl/charts/style120.xml" ContentType="application/vnd.ms-office.chartstyle+xml"/>
  <Override PartName="/xl/charts/colors120.xml" ContentType="application/vnd.ms-office.chartcolorstyle+xml"/>
  <Override PartName="/xl/charts/chart121.xml" ContentType="application/vnd.openxmlformats-officedocument.drawingml.chart+xml"/>
  <Override PartName="/xl/charts/style121.xml" ContentType="application/vnd.ms-office.chartstyle+xml"/>
  <Override PartName="/xl/charts/colors121.xml" ContentType="application/vnd.ms-office.chartcolorstyle+xml"/>
  <Override PartName="/xl/drawings/drawing28.xml" ContentType="application/vnd.openxmlformats-officedocument.drawing+xml"/>
  <Override PartName="/xl/charts/chart122.xml" ContentType="application/vnd.openxmlformats-officedocument.drawingml.chart+xml"/>
  <Override PartName="/xl/charts/style122.xml" ContentType="application/vnd.ms-office.chartstyle+xml"/>
  <Override PartName="/xl/charts/colors122.xml" ContentType="application/vnd.ms-office.chartcolorstyle+xml"/>
  <Override PartName="/xl/charts/chart123.xml" ContentType="application/vnd.openxmlformats-officedocument.drawingml.chart+xml"/>
  <Override PartName="/xl/charts/style123.xml" ContentType="application/vnd.ms-office.chartstyle+xml"/>
  <Override PartName="/xl/charts/colors123.xml" ContentType="application/vnd.ms-office.chartcolorstyle+xml"/>
  <Override PartName="/xl/charts/chart124.xml" ContentType="application/vnd.openxmlformats-officedocument.drawingml.chart+xml"/>
  <Override PartName="/xl/charts/style124.xml" ContentType="application/vnd.ms-office.chartstyle+xml"/>
  <Override PartName="/xl/charts/colors124.xml" ContentType="application/vnd.ms-office.chartcolorstyle+xml"/>
  <Override PartName="/xl/drawings/drawing29.xml" ContentType="application/vnd.openxmlformats-officedocument.drawing+xml"/>
  <Override PartName="/xl/charts/chart125.xml" ContentType="application/vnd.openxmlformats-officedocument.drawingml.chart+xml"/>
  <Override PartName="/xl/charts/style125.xml" ContentType="application/vnd.ms-office.chartstyle+xml"/>
  <Override PartName="/xl/charts/colors125.xml" ContentType="application/vnd.ms-office.chartcolorstyle+xml"/>
  <Override PartName="/xl/charts/chart126.xml" ContentType="application/vnd.openxmlformats-officedocument.drawingml.chart+xml"/>
  <Override PartName="/xl/charts/style126.xml" ContentType="application/vnd.ms-office.chartstyle+xml"/>
  <Override PartName="/xl/charts/colors126.xml" ContentType="application/vnd.ms-office.chartcolorstyle+xml"/>
  <Override PartName="/xl/charts/chart127.xml" ContentType="application/vnd.openxmlformats-officedocument.drawingml.chart+xml"/>
  <Override PartName="/xl/charts/style127.xml" ContentType="application/vnd.ms-office.chartstyle+xml"/>
  <Override PartName="/xl/charts/colors127.xml" ContentType="application/vnd.ms-office.chartcolorstyle+xml"/>
  <Override PartName="/xl/drawings/drawing30.xml" ContentType="application/vnd.openxmlformats-officedocument.drawing+xml"/>
  <Override PartName="/xl/charts/chart128.xml" ContentType="application/vnd.openxmlformats-officedocument.drawingml.chart+xml"/>
  <Override PartName="/xl/charts/style128.xml" ContentType="application/vnd.ms-office.chartstyle+xml"/>
  <Override PartName="/xl/charts/colors128.xml" ContentType="application/vnd.ms-office.chartcolorstyle+xml"/>
  <Override PartName="/xl/charts/chart129.xml" ContentType="application/vnd.openxmlformats-officedocument.drawingml.chart+xml"/>
  <Override PartName="/xl/charts/style129.xml" ContentType="application/vnd.ms-office.chartstyle+xml"/>
  <Override PartName="/xl/charts/colors129.xml" ContentType="application/vnd.ms-office.chartcolorstyle+xml"/>
  <Override PartName="/xl/charts/chart130.xml" ContentType="application/vnd.openxmlformats-officedocument.drawingml.chart+xml"/>
  <Override PartName="/xl/charts/style130.xml" ContentType="application/vnd.ms-office.chartstyle+xml"/>
  <Override PartName="/xl/charts/colors130.xml" ContentType="application/vnd.ms-office.chartcolorstyle+xml"/>
  <Override PartName="/xl/drawings/drawing31.xml" ContentType="application/vnd.openxmlformats-officedocument.drawing+xml"/>
  <Override PartName="/xl/charts/chart131.xml" ContentType="application/vnd.openxmlformats-officedocument.drawingml.chart+xml"/>
  <Override PartName="/xl/charts/style131.xml" ContentType="application/vnd.ms-office.chartstyle+xml"/>
  <Override PartName="/xl/charts/colors131.xml" ContentType="application/vnd.ms-office.chartcolorstyle+xml"/>
  <Override PartName="/xl/charts/chart132.xml" ContentType="application/vnd.openxmlformats-officedocument.drawingml.chart+xml"/>
  <Override PartName="/xl/charts/style132.xml" ContentType="application/vnd.ms-office.chartstyle+xml"/>
  <Override PartName="/xl/charts/colors132.xml" ContentType="application/vnd.ms-office.chartcolorstyle+xml"/>
  <Override PartName="/xl/charts/chart133.xml" ContentType="application/vnd.openxmlformats-officedocument.drawingml.chart+xml"/>
  <Override PartName="/xl/charts/style133.xml" ContentType="application/vnd.ms-office.chartstyle+xml"/>
  <Override PartName="/xl/charts/colors133.xml" ContentType="application/vnd.ms-office.chartcolorstyle+xml"/>
  <Override PartName="/xl/drawings/drawing32.xml" ContentType="application/vnd.openxmlformats-officedocument.drawing+xml"/>
  <Override PartName="/xl/charts/chart134.xml" ContentType="application/vnd.openxmlformats-officedocument.drawingml.chart+xml"/>
  <Override PartName="/xl/charts/style134.xml" ContentType="application/vnd.ms-office.chartstyle+xml"/>
  <Override PartName="/xl/charts/colors134.xml" ContentType="application/vnd.ms-office.chartcolorstyle+xml"/>
  <Override PartName="/xl/charts/chart135.xml" ContentType="application/vnd.openxmlformats-officedocument.drawingml.chart+xml"/>
  <Override PartName="/xl/charts/style135.xml" ContentType="application/vnd.ms-office.chartstyle+xml"/>
  <Override PartName="/xl/charts/colors135.xml" ContentType="application/vnd.ms-office.chartcolorstyle+xml"/>
  <Override PartName="/xl/charts/chart136.xml" ContentType="application/vnd.openxmlformats-officedocument.drawingml.chart+xml"/>
  <Override PartName="/xl/charts/style136.xml" ContentType="application/vnd.ms-office.chartstyle+xml"/>
  <Override PartName="/xl/charts/colors136.xml" ContentType="application/vnd.ms-office.chartcolorstyle+xml"/>
  <Override PartName="/xl/drawings/drawing33.xml" ContentType="application/vnd.openxmlformats-officedocument.drawing+xml"/>
  <Override PartName="/xl/charts/chart137.xml" ContentType="application/vnd.openxmlformats-officedocument.drawingml.chart+xml"/>
  <Override PartName="/xl/charts/style137.xml" ContentType="application/vnd.ms-office.chartstyle+xml"/>
  <Override PartName="/xl/charts/colors137.xml" ContentType="application/vnd.ms-office.chartcolorstyle+xml"/>
  <Override PartName="/xl/charts/chart138.xml" ContentType="application/vnd.openxmlformats-officedocument.drawingml.chart+xml"/>
  <Override PartName="/xl/charts/style138.xml" ContentType="application/vnd.ms-office.chartstyle+xml"/>
  <Override PartName="/xl/charts/colors138.xml" ContentType="application/vnd.ms-office.chartcolorstyle+xml"/>
  <Override PartName="/xl/charts/chart139.xml" ContentType="application/vnd.openxmlformats-officedocument.drawingml.chart+xml"/>
  <Override PartName="/xl/charts/style139.xml" ContentType="application/vnd.ms-office.chartstyle+xml"/>
  <Override PartName="/xl/charts/colors139.xml" ContentType="application/vnd.ms-office.chartcolorstyle+xml"/>
  <Override PartName="/xl/drawings/drawing34.xml" ContentType="application/vnd.openxmlformats-officedocument.drawing+xml"/>
  <Override PartName="/xl/charts/chart140.xml" ContentType="application/vnd.openxmlformats-officedocument.drawingml.chart+xml"/>
  <Override PartName="/xl/charts/style140.xml" ContentType="application/vnd.ms-office.chartstyle+xml"/>
  <Override PartName="/xl/charts/colors140.xml" ContentType="application/vnd.ms-office.chartcolorstyle+xml"/>
  <Override PartName="/xl/charts/chart141.xml" ContentType="application/vnd.openxmlformats-officedocument.drawingml.chart+xml"/>
  <Override PartName="/xl/charts/style141.xml" ContentType="application/vnd.ms-office.chartstyle+xml"/>
  <Override PartName="/xl/charts/colors141.xml" ContentType="application/vnd.ms-office.chartcolorstyle+xml"/>
  <Override PartName="/xl/charts/chart142.xml" ContentType="application/vnd.openxmlformats-officedocument.drawingml.chart+xml"/>
  <Override PartName="/xl/charts/style142.xml" ContentType="application/vnd.ms-office.chartstyle+xml"/>
  <Override PartName="/xl/charts/colors142.xml" ContentType="application/vnd.ms-office.chartcolorstyle+xml"/>
  <Override PartName="/xl/drawings/drawing35.xml" ContentType="application/vnd.openxmlformats-officedocument.drawing+xml"/>
  <Override PartName="/xl/charts/chart143.xml" ContentType="application/vnd.openxmlformats-officedocument.drawingml.chart+xml"/>
  <Override PartName="/xl/charts/style143.xml" ContentType="application/vnd.ms-office.chartstyle+xml"/>
  <Override PartName="/xl/charts/colors143.xml" ContentType="application/vnd.ms-office.chartcolorstyle+xml"/>
  <Override PartName="/xl/charts/chart144.xml" ContentType="application/vnd.openxmlformats-officedocument.drawingml.chart+xml"/>
  <Override PartName="/xl/charts/style144.xml" ContentType="application/vnd.ms-office.chartstyle+xml"/>
  <Override PartName="/xl/charts/colors144.xml" ContentType="application/vnd.ms-office.chartcolorstyle+xml"/>
  <Override PartName="/xl/charts/chart145.xml" ContentType="application/vnd.openxmlformats-officedocument.drawingml.chart+xml"/>
  <Override PartName="/xl/charts/style145.xml" ContentType="application/vnd.ms-office.chartstyle+xml"/>
  <Override PartName="/xl/charts/colors145.xml" ContentType="application/vnd.ms-office.chartcolorstyle+xml"/>
  <Override PartName="/xl/charts/chart146.xml" ContentType="application/vnd.openxmlformats-officedocument.drawingml.chart+xml"/>
  <Override PartName="/xl/charts/style146.xml" ContentType="application/vnd.ms-office.chartstyle+xml"/>
  <Override PartName="/xl/charts/colors146.xml" ContentType="application/vnd.ms-office.chartcolorstyle+xml"/>
  <Override PartName="/xl/charts/chart147.xml" ContentType="application/vnd.openxmlformats-officedocument.drawingml.chart+xml"/>
  <Override PartName="/xl/charts/style147.xml" ContentType="application/vnd.ms-office.chartstyle+xml"/>
  <Override PartName="/xl/charts/colors147.xml" ContentType="application/vnd.ms-office.chartcolorstyle+xml"/>
  <Override PartName="/xl/charts/chart148.xml" ContentType="application/vnd.openxmlformats-officedocument.drawingml.chart+xml"/>
  <Override PartName="/xl/charts/style148.xml" ContentType="application/vnd.ms-office.chartstyle+xml"/>
  <Override PartName="/xl/charts/colors148.xml" ContentType="application/vnd.ms-office.chartcolorstyle+xml"/>
  <Override PartName="/xl/charts/chart149.xml" ContentType="application/vnd.openxmlformats-officedocument.drawingml.chart+xml"/>
  <Override PartName="/xl/charts/chart150.xml" ContentType="application/vnd.openxmlformats-officedocument.drawingml.chart+xml"/>
  <Override PartName="/xl/charts/chart151.xml" ContentType="application/vnd.openxmlformats-officedocument.drawingml.chart+xml"/>
  <Override PartName="/xl/charts/style149.xml" ContentType="application/vnd.ms-office.chartstyle+xml"/>
  <Override PartName="/xl/charts/colors149.xml" ContentType="application/vnd.ms-office.chartcolorstyle+xml"/>
  <Override PartName="/xl/charts/chart152.xml" ContentType="application/vnd.openxmlformats-officedocument.drawingml.chart+xml"/>
  <Override PartName="/xl/charts/style150.xml" ContentType="application/vnd.ms-office.chartstyle+xml"/>
  <Override PartName="/xl/charts/colors150.xml" ContentType="application/vnd.ms-office.chartcolorstyle+xml"/>
  <Override PartName="/xl/charts/chart153.xml" ContentType="application/vnd.openxmlformats-officedocument.drawingml.chart+xml"/>
  <Override PartName="/xl/charts/style151.xml" ContentType="application/vnd.ms-office.chartstyle+xml"/>
  <Override PartName="/xl/charts/colors151.xml" ContentType="application/vnd.ms-office.chartcolorstyle+xml"/>
  <Override PartName="/xl/charts/chart154.xml" ContentType="application/vnd.openxmlformats-officedocument.drawingml.chart+xml"/>
  <Override PartName="/xl/charts/style152.xml" ContentType="application/vnd.ms-office.chartstyle+xml"/>
  <Override PartName="/xl/charts/colors152.xml" ContentType="application/vnd.ms-office.chartcolorstyle+xml"/>
  <Override PartName="/xl/charts/chart155.xml" ContentType="application/vnd.openxmlformats-officedocument.drawingml.chart+xml"/>
  <Override PartName="/xl/charts/style153.xml" ContentType="application/vnd.ms-office.chartstyle+xml"/>
  <Override PartName="/xl/charts/colors153.xml" ContentType="application/vnd.ms-office.chartcolorstyle+xml"/>
  <Override PartName="/xl/charts/chart156.xml" ContentType="application/vnd.openxmlformats-officedocument.drawingml.chart+xml"/>
  <Override PartName="/xl/charts/style154.xml" ContentType="application/vnd.ms-office.chartstyle+xml"/>
  <Override PartName="/xl/charts/colors154.xml" ContentType="application/vnd.ms-office.chartcolorstyle+xml"/>
  <Override PartName="/xl/charts/chart157.xml" ContentType="application/vnd.openxmlformats-officedocument.drawingml.chart+xml"/>
  <Override PartName="/xl/charts/style155.xml" ContentType="application/vnd.ms-office.chartstyle+xml"/>
  <Override PartName="/xl/charts/colors155.xml" ContentType="application/vnd.ms-office.chartcolorstyle+xml"/>
  <Override PartName="/xl/drawings/drawing36.xml" ContentType="application/vnd.openxmlformats-officedocument.drawing+xml"/>
  <Override PartName="/xl/charts/chart158.xml" ContentType="application/vnd.openxmlformats-officedocument.drawingml.chart+xml"/>
  <Override PartName="/xl/charts/style156.xml" ContentType="application/vnd.ms-office.chartstyle+xml"/>
  <Override PartName="/xl/charts/colors156.xml" ContentType="application/vnd.ms-office.chartcolorstyle+xml"/>
  <Override PartName="/xl/charts/chart159.xml" ContentType="application/vnd.openxmlformats-officedocument.drawingml.chart+xml"/>
  <Override PartName="/xl/charts/style157.xml" ContentType="application/vnd.ms-office.chartstyle+xml"/>
  <Override PartName="/xl/charts/colors157.xml" ContentType="application/vnd.ms-office.chartcolorstyle+xml"/>
  <Override PartName="/xl/charts/chart160.xml" ContentType="application/vnd.openxmlformats-officedocument.drawingml.chart+xml"/>
  <Override PartName="/xl/charts/style158.xml" ContentType="application/vnd.ms-office.chartstyle+xml"/>
  <Override PartName="/xl/charts/colors158.xml" ContentType="application/vnd.ms-office.chartcolorstyle+xml"/>
  <Override PartName="/xl/drawings/drawing37.xml" ContentType="application/vnd.openxmlformats-officedocument.drawing+xml"/>
  <Override PartName="/xl/charts/chart161.xml" ContentType="application/vnd.openxmlformats-officedocument.drawingml.chart+xml"/>
  <Override PartName="/xl/charts/style159.xml" ContentType="application/vnd.ms-office.chartstyle+xml"/>
  <Override PartName="/xl/charts/colors159.xml" ContentType="application/vnd.ms-office.chartcolorstyle+xml"/>
  <Override PartName="/xl/charts/chart162.xml" ContentType="application/vnd.openxmlformats-officedocument.drawingml.chart+xml"/>
  <Override PartName="/xl/charts/style160.xml" ContentType="application/vnd.ms-office.chartstyle+xml"/>
  <Override PartName="/xl/charts/colors160.xml" ContentType="application/vnd.ms-office.chartcolorstyle+xml"/>
  <Override PartName="/xl/charts/chart163.xml" ContentType="application/vnd.openxmlformats-officedocument.drawingml.chart+xml"/>
  <Override PartName="/xl/charts/style161.xml" ContentType="application/vnd.ms-office.chartstyle+xml"/>
  <Override PartName="/xl/charts/colors161.xml" ContentType="application/vnd.ms-office.chartcolorstyle+xml"/>
  <Override PartName="/xl/charts/chart164.xml" ContentType="application/vnd.openxmlformats-officedocument.drawingml.chart+xml"/>
  <Override PartName="/xl/charts/style162.xml" ContentType="application/vnd.ms-office.chartstyle+xml"/>
  <Override PartName="/xl/charts/colors162.xml" ContentType="application/vnd.ms-office.chartcolorstyle+xml"/>
  <Override PartName="/xl/charts/chart165.xml" ContentType="application/vnd.openxmlformats-officedocument.drawingml.chart+xml"/>
  <Override PartName="/xl/charts/chart166.xml" ContentType="application/vnd.openxmlformats-officedocument.drawingml.chart+xml"/>
  <Override PartName="/xl/charts/style163.xml" ContentType="application/vnd.ms-office.chartstyle+xml"/>
  <Override PartName="/xl/charts/colors163.xml" ContentType="application/vnd.ms-office.chartcolorstyle+xml"/>
  <Override PartName="/xl/charts/chart167.xml" ContentType="application/vnd.openxmlformats-officedocument.drawingml.chart+xml"/>
  <Override PartName="/xl/charts/style164.xml" ContentType="application/vnd.ms-office.chartstyle+xml"/>
  <Override PartName="/xl/charts/colors164.xml" ContentType="application/vnd.ms-office.chartcolorstyle+xml"/>
  <Override PartName="/xl/charts/chart168.xml" ContentType="application/vnd.openxmlformats-officedocument.drawingml.chart+xml"/>
  <Override PartName="/xl/charts/chart16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8"/>
  <workbookPr defaultThemeVersion="166925"/>
  <mc:AlternateContent xmlns:mc="http://schemas.openxmlformats.org/markup-compatibility/2006">
    <mc:Choice Requires="x15">
      <x15ac:absPath xmlns:x15ac="http://schemas.microsoft.com/office/spreadsheetml/2010/11/ac" url="C:\Users\barba\OneDrive\Documentos\Laboratorio\Electrospinning Ciudad Real\"/>
    </mc:Choice>
  </mc:AlternateContent>
  <xr:revisionPtr revIDLastSave="0" documentId="13_ncr:1_{4AB2D912-3264-44E8-80D6-BE64C81870DB}" xr6:coauthVersionLast="47" xr6:coauthVersionMax="47" xr10:uidLastSave="{00000000-0000-0000-0000-000000000000}"/>
  <bookViews>
    <workbookView xWindow="-120" yWindow="-120" windowWidth="29040" windowHeight="15720" tabRatio="608" firstSheet="2" activeTab="2" xr2:uid="{0C520C2B-FC1D-43BA-BF9F-FC20CFBFDBE2}"/>
  </bookViews>
  <sheets>
    <sheet name="Recta calibrado" sheetId="7" r:id="rId1"/>
    <sheet name="Calibrado SMX " sheetId="40" r:id="rId2"/>
    <sheet name="Resumen" sheetId="21" r:id="rId3"/>
    <sheet name="A" sheetId="38" r:id="rId4"/>
    <sheet name="B" sheetId="39" r:id="rId5"/>
    <sheet name="C" sheetId="37" r:id="rId6"/>
    <sheet name="D" sheetId="36" r:id="rId7"/>
    <sheet name="E" sheetId="35" r:id="rId8"/>
    <sheet name="F" sheetId="34" r:id="rId9"/>
    <sheet name="G" sheetId="30" r:id="rId10"/>
    <sheet name="H" sheetId="26" r:id="rId11"/>
    <sheet name="I" sheetId="29" r:id="rId12"/>
    <sheet name="J" sheetId="24" r:id="rId13"/>
    <sheet name="K" sheetId="25" r:id="rId14"/>
    <sheet name="L" sheetId="33" r:id="rId15"/>
    <sheet name="M" sheetId="32" r:id="rId16"/>
    <sheet name="N" sheetId="28" r:id="rId17"/>
    <sheet name="Ñ" sheetId="27" r:id="rId18"/>
    <sheet name="O" sheetId="23" r:id="rId19"/>
    <sheet name="P" sheetId="31" r:id="rId20"/>
    <sheet name="Comparaciones" sheetId="22" r:id="rId21"/>
    <sheet name="Q" sheetId="2" r:id="rId22"/>
    <sheet name="R" sheetId="3" r:id="rId23"/>
    <sheet name="S" sheetId="4" r:id="rId24"/>
    <sheet name="AA" sheetId="1" r:id="rId25"/>
    <sheet name="AB" sheetId="5" r:id="rId26"/>
    <sheet name="AC" sheetId="6" r:id="rId27"/>
    <sheet name="AD" sheetId="9" r:id="rId28"/>
    <sheet name="AE" sheetId="10" r:id="rId29"/>
    <sheet name="AF" sheetId="11" r:id="rId30"/>
    <sheet name="AG" sheetId="12" r:id="rId31"/>
    <sheet name="AH" sheetId="13" r:id="rId32"/>
    <sheet name="AI" sheetId="15" r:id="rId33"/>
    <sheet name="AJ" sheetId="16" r:id="rId34"/>
    <sheet name="AK" sheetId="17" r:id="rId35"/>
    <sheet name="AL" sheetId="18" r:id="rId36"/>
    <sheet name="AM" sheetId="19" r:id="rId37"/>
    <sheet name="AN" sheetId="41" r:id="rId38"/>
    <sheet name="AÑ" sheetId="42" r:id="rId39"/>
    <sheet name="Comparación 1" sheetId="8" r:id="rId40"/>
    <sheet name="Comparacion SMX y ANT" sheetId="20" r:id="rId41"/>
    <sheet name="Datos para continuo" sheetId="43" r:id="rId4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6" i="1" l="1"/>
  <c r="L17" i="1"/>
  <c r="L18" i="1"/>
  <c r="L19" i="1"/>
  <c r="L20" i="1"/>
  <c r="L21" i="1"/>
  <c r="L22" i="1"/>
  <c r="L23" i="1"/>
  <c r="L24" i="1"/>
  <c r="L25" i="1"/>
  <c r="L15" i="1"/>
  <c r="H16" i="23"/>
  <c r="H17" i="23"/>
  <c r="H18" i="23"/>
  <c r="H19" i="23"/>
  <c r="H20" i="23"/>
  <c r="H21" i="23"/>
  <c r="H15" i="23"/>
  <c r="N15" i="29" l="1"/>
  <c r="N16" i="29"/>
  <c r="N17" i="29"/>
  <c r="N18" i="29"/>
  <c r="N19" i="29"/>
  <c r="N20" i="29"/>
  <c r="M15" i="29"/>
  <c r="M16" i="29"/>
  <c r="M17" i="29"/>
  <c r="M18" i="29"/>
  <c r="M19" i="29"/>
  <c r="M20" i="29"/>
  <c r="L15" i="29"/>
  <c r="L16" i="29"/>
  <c r="L17" i="29"/>
  <c r="L18" i="29"/>
  <c r="L19" i="29"/>
  <c r="L20" i="29"/>
  <c r="N14" i="29"/>
  <c r="M14" i="29"/>
  <c r="L14" i="29"/>
  <c r="N16" i="27"/>
  <c r="N17" i="27"/>
  <c r="N18" i="27"/>
  <c r="N19" i="27"/>
  <c r="N20" i="27"/>
  <c r="N21" i="27"/>
  <c r="M16" i="27"/>
  <c r="M17" i="27"/>
  <c r="M18" i="27"/>
  <c r="M19" i="27"/>
  <c r="M20" i="27"/>
  <c r="M21" i="27"/>
  <c r="L16" i="27"/>
  <c r="L17" i="27"/>
  <c r="L18" i="27"/>
  <c r="L19" i="27"/>
  <c r="L20" i="27"/>
  <c r="L21" i="27"/>
  <c r="N15" i="27"/>
  <c r="M15" i="27"/>
  <c r="L15" i="27"/>
  <c r="N16" i="31"/>
  <c r="N17" i="31"/>
  <c r="N18" i="31"/>
  <c r="N19" i="31"/>
  <c r="N20" i="31"/>
  <c r="N21" i="31"/>
  <c r="M16" i="31"/>
  <c r="M17" i="31"/>
  <c r="M18" i="31"/>
  <c r="M19" i="31"/>
  <c r="M20" i="31"/>
  <c r="M21" i="31"/>
  <c r="L16" i="31"/>
  <c r="L17" i="31"/>
  <c r="L18" i="31"/>
  <c r="L19" i="31"/>
  <c r="L20" i="31"/>
  <c r="L21" i="31"/>
  <c r="N15" i="31"/>
  <c r="M15" i="31"/>
  <c r="L15" i="31"/>
  <c r="H63" i="33"/>
  <c r="J63" i="33"/>
  <c r="J64" i="33"/>
  <c r="J65" i="33"/>
  <c r="J66" i="33"/>
  <c r="J67" i="33"/>
  <c r="J68" i="33"/>
  <c r="I63" i="33"/>
  <c r="I64" i="33"/>
  <c r="I65" i="33"/>
  <c r="I66" i="33"/>
  <c r="I67" i="33"/>
  <c r="I68" i="33"/>
  <c r="H64" i="33"/>
  <c r="H65" i="33"/>
  <c r="H66" i="33"/>
  <c r="H67" i="33"/>
  <c r="H68" i="33"/>
  <c r="H62" i="33"/>
  <c r="I62" i="33"/>
  <c r="J62" i="33"/>
  <c r="F62" i="33"/>
  <c r="J40" i="33"/>
  <c r="J41" i="33"/>
  <c r="J42" i="33"/>
  <c r="J43" i="33"/>
  <c r="J44" i="33"/>
  <c r="J45" i="33"/>
  <c r="I40" i="33"/>
  <c r="I41" i="33"/>
  <c r="I42" i="33"/>
  <c r="I43" i="33"/>
  <c r="I44" i="33"/>
  <c r="I45" i="33"/>
  <c r="H40" i="33"/>
  <c r="H41" i="33"/>
  <c r="H42" i="33"/>
  <c r="H43" i="33"/>
  <c r="H44" i="33"/>
  <c r="H45" i="33"/>
  <c r="J39" i="33"/>
  <c r="I39" i="33"/>
  <c r="H39" i="33"/>
  <c r="J16" i="33"/>
  <c r="J17" i="33"/>
  <c r="J18" i="33"/>
  <c r="J19" i="33"/>
  <c r="J20" i="33"/>
  <c r="J21" i="33"/>
  <c r="I16" i="33"/>
  <c r="I17" i="33"/>
  <c r="I18" i="33"/>
  <c r="I19" i="33"/>
  <c r="I20" i="33"/>
  <c r="I21" i="33"/>
  <c r="J15" i="33"/>
  <c r="I15" i="33"/>
  <c r="H16" i="33" l="1"/>
  <c r="H17" i="33"/>
  <c r="H18" i="33"/>
  <c r="H19" i="33"/>
  <c r="H20" i="33"/>
  <c r="H21" i="33"/>
  <c r="H15" i="33"/>
  <c r="I16" i="42" l="1"/>
  <c r="I17" i="42"/>
  <c r="I18" i="42"/>
  <c r="I19" i="42"/>
  <c r="I20" i="42"/>
  <c r="I21" i="42"/>
  <c r="I22" i="42"/>
  <c r="I23" i="42"/>
  <c r="I24" i="42"/>
  <c r="I25" i="42"/>
  <c r="H16" i="42"/>
  <c r="H17" i="42"/>
  <c r="H18" i="42"/>
  <c r="H19" i="42"/>
  <c r="H20" i="42"/>
  <c r="H21" i="42"/>
  <c r="H22" i="42"/>
  <c r="H23" i="42"/>
  <c r="H24" i="42"/>
  <c r="H25" i="42"/>
  <c r="F16" i="42"/>
  <c r="F17" i="42"/>
  <c r="F18" i="42"/>
  <c r="F19" i="42"/>
  <c r="F20" i="42"/>
  <c r="F21" i="42"/>
  <c r="F22" i="42"/>
  <c r="F23" i="42"/>
  <c r="F24" i="42"/>
  <c r="F25" i="42"/>
  <c r="F15" i="42"/>
  <c r="I15" i="42" s="1"/>
  <c r="L18" i="42"/>
  <c r="L17" i="42"/>
  <c r="L15" i="42"/>
  <c r="L14" i="42"/>
  <c r="H15" i="42"/>
  <c r="I16" i="41"/>
  <c r="I17" i="41"/>
  <c r="I18" i="41"/>
  <c r="I19" i="41"/>
  <c r="I20" i="41"/>
  <c r="I21" i="41"/>
  <c r="I22" i="41"/>
  <c r="I23" i="41"/>
  <c r="I24" i="41"/>
  <c r="I25" i="41"/>
  <c r="I15" i="41"/>
  <c r="H16" i="41"/>
  <c r="H17" i="41"/>
  <c r="H18" i="41"/>
  <c r="H19" i="41"/>
  <c r="H20" i="41"/>
  <c r="H21" i="41"/>
  <c r="H22" i="41"/>
  <c r="H23" i="41"/>
  <c r="H24" i="41"/>
  <c r="H25" i="41"/>
  <c r="H15" i="41"/>
  <c r="G18" i="41"/>
  <c r="G15" i="41"/>
  <c r="M16" i="19"/>
  <c r="L16" i="19"/>
  <c r="N15" i="19"/>
  <c r="F16" i="41"/>
  <c r="F17" i="41"/>
  <c r="F18" i="41"/>
  <c r="F19" i="41"/>
  <c r="F20" i="41"/>
  <c r="F21" i="41"/>
  <c r="F22" i="41"/>
  <c r="F23" i="41"/>
  <c r="F24" i="41"/>
  <c r="F25" i="41"/>
  <c r="F15" i="41"/>
  <c r="L18" i="41"/>
  <c r="L17" i="41"/>
  <c r="L15" i="41"/>
  <c r="L14" i="41"/>
  <c r="K18" i="39"/>
  <c r="K17" i="39"/>
  <c r="F14" i="39"/>
  <c r="G14" i="39" s="1"/>
  <c r="F15" i="39"/>
  <c r="F16" i="39"/>
  <c r="F17" i="39"/>
  <c r="F18" i="39"/>
  <c r="F19" i="39"/>
  <c r="F20" i="39"/>
  <c r="F13" i="38"/>
  <c r="G13" i="38"/>
  <c r="F14" i="38"/>
  <c r="G14" i="38"/>
  <c r="F15" i="38"/>
  <c r="F16" i="38"/>
  <c r="F17" i="38"/>
  <c r="F18" i="38"/>
  <c r="F19" i="38"/>
  <c r="F13" i="37"/>
  <c r="G13" i="37" s="1"/>
  <c r="F14" i="37"/>
  <c r="G14" i="37" s="1"/>
  <c r="F15" i="37"/>
  <c r="G15" i="37" s="1"/>
  <c r="F30" i="36" s="1"/>
  <c r="F16" i="37"/>
  <c r="G16" i="37"/>
  <c r="F17" i="37"/>
  <c r="F18" i="37"/>
  <c r="F19" i="37"/>
  <c r="F16" i="36"/>
  <c r="G16" i="36"/>
  <c r="F17" i="36"/>
  <c r="G17" i="36"/>
  <c r="F18" i="36"/>
  <c r="G18" i="36"/>
  <c r="F29" i="36" s="1"/>
  <c r="F19" i="36"/>
  <c r="G19" i="36" s="1"/>
  <c r="F20" i="36"/>
  <c r="F21" i="36"/>
  <c r="F22" i="36"/>
  <c r="G22" i="36" s="1"/>
  <c r="F14" i="35"/>
  <c r="G14" i="35" s="1"/>
  <c r="F15" i="35"/>
  <c r="F16" i="35"/>
  <c r="G16" i="35"/>
  <c r="F32" i="36" s="1"/>
  <c r="F17" i="35"/>
  <c r="F18" i="35"/>
  <c r="F19" i="35"/>
  <c r="F20" i="35"/>
  <c r="F14" i="34"/>
  <c r="G19" i="34" s="1"/>
  <c r="F15" i="34"/>
  <c r="F16" i="34"/>
  <c r="F17" i="34"/>
  <c r="F18" i="34"/>
  <c r="F19" i="34"/>
  <c r="F20" i="34"/>
  <c r="F15" i="33"/>
  <c r="G15" i="33"/>
  <c r="F16" i="33"/>
  <c r="G16" i="33"/>
  <c r="F17" i="33"/>
  <c r="G17" i="33"/>
  <c r="F18" i="33"/>
  <c r="G18" i="33"/>
  <c r="F19" i="33"/>
  <c r="G19" i="33"/>
  <c r="F20" i="33"/>
  <c r="G20" i="33"/>
  <c r="F21" i="33"/>
  <c r="G21" i="33"/>
  <c r="F39" i="33"/>
  <c r="G44" i="33" s="1"/>
  <c r="G39" i="33"/>
  <c r="F40" i="33"/>
  <c r="G40" i="33"/>
  <c r="F41" i="33"/>
  <c r="G41" i="33"/>
  <c r="F42" i="33"/>
  <c r="G42" i="33"/>
  <c r="F43" i="33"/>
  <c r="G43" i="33"/>
  <c r="F44" i="33"/>
  <c r="F45" i="33"/>
  <c r="G45" i="33"/>
  <c r="G66" i="33"/>
  <c r="G62" i="33"/>
  <c r="F63" i="33"/>
  <c r="G63" i="33"/>
  <c r="F64" i="33"/>
  <c r="G64" i="33"/>
  <c r="F65" i="33"/>
  <c r="G65" i="33"/>
  <c r="F66" i="33"/>
  <c r="F67" i="33"/>
  <c r="F68" i="33"/>
  <c r="G68" i="33"/>
  <c r="F14" i="32"/>
  <c r="G14" i="32" s="1"/>
  <c r="F15" i="32"/>
  <c r="G15" i="32"/>
  <c r="F16" i="32"/>
  <c r="G16" i="32"/>
  <c r="F17" i="32"/>
  <c r="G17" i="32"/>
  <c r="F18" i="32"/>
  <c r="G18" i="32"/>
  <c r="F19" i="32"/>
  <c r="G19" i="32"/>
  <c r="F20" i="32"/>
  <c r="F15" i="31"/>
  <c r="G15" i="31"/>
  <c r="F16" i="31"/>
  <c r="G16" i="31"/>
  <c r="F17" i="31"/>
  <c r="G17" i="31"/>
  <c r="F18" i="31"/>
  <c r="G18" i="31"/>
  <c r="F19" i="31"/>
  <c r="G19" i="31"/>
  <c r="F20" i="31"/>
  <c r="G20" i="31"/>
  <c r="F21" i="31"/>
  <c r="G21" i="31"/>
  <c r="F14" i="30"/>
  <c r="G14" i="30" s="1"/>
  <c r="F15" i="30"/>
  <c r="G15" i="30"/>
  <c r="F16" i="30"/>
  <c r="G16" i="30"/>
  <c r="F17" i="30"/>
  <c r="G17" i="30"/>
  <c r="F18" i="30"/>
  <c r="G18" i="30"/>
  <c r="F19" i="30"/>
  <c r="G19" i="30"/>
  <c r="F20" i="30"/>
  <c r="G20" i="30"/>
  <c r="F14" i="29"/>
  <c r="G14" i="29"/>
  <c r="F15" i="29"/>
  <c r="G15" i="29"/>
  <c r="F16" i="29"/>
  <c r="G16" i="29"/>
  <c r="F17" i="29"/>
  <c r="G17" i="29"/>
  <c r="F18" i="29"/>
  <c r="G18" i="29"/>
  <c r="F19" i="29"/>
  <c r="G19" i="29"/>
  <c r="F20" i="29"/>
  <c r="G20" i="29"/>
  <c r="F15" i="28"/>
  <c r="G15" i="28"/>
  <c r="F16" i="28"/>
  <c r="G16" i="28"/>
  <c r="F17" i="28"/>
  <c r="G17" i="28"/>
  <c r="F18" i="28"/>
  <c r="G18" i="28"/>
  <c r="F19" i="28"/>
  <c r="G19" i="28"/>
  <c r="F20" i="28"/>
  <c r="G20" i="28"/>
  <c r="F21" i="28"/>
  <c r="G21" i="28"/>
  <c r="F15" i="27"/>
  <c r="G15" i="27"/>
  <c r="F16" i="27"/>
  <c r="G16" i="27"/>
  <c r="F17" i="27"/>
  <c r="G17" i="27"/>
  <c r="F18" i="27"/>
  <c r="G18" i="27"/>
  <c r="F19" i="27"/>
  <c r="G19" i="27"/>
  <c r="F20" i="27"/>
  <c r="G20" i="27"/>
  <c r="F21" i="27"/>
  <c r="G21" i="27"/>
  <c r="F14" i="26"/>
  <c r="G16" i="26" s="1"/>
  <c r="G14" i="26"/>
  <c r="F15" i="26"/>
  <c r="G15" i="26"/>
  <c r="F16" i="26"/>
  <c r="F17" i="26"/>
  <c r="F18" i="26"/>
  <c r="F19" i="26"/>
  <c r="F20" i="26"/>
  <c r="G20" i="26"/>
  <c r="F14" i="25"/>
  <c r="G14" i="25" s="1"/>
  <c r="F15" i="25"/>
  <c r="F16" i="25"/>
  <c r="G16" i="25"/>
  <c r="F17" i="25"/>
  <c r="G17" i="25"/>
  <c r="F18" i="25"/>
  <c r="G18" i="25"/>
  <c r="F19" i="25"/>
  <c r="G19" i="25"/>
  <c r="F20" i="25"/>
  <c r="F15" i="24"/>
  <c r="G15" i="24"/>
  <c r="F16" i="24"/>
  <c r="G16" i="24"/>
  <c r="F17" i="24"/>
  <c r="G17" i="24"/>
  <c r="F18" i="24"/>
  <c r="G18" i="24"/>
  <c r="F19" i="24"/>
  <c r="G19" i="24"/>
  <c r="F20" i="24"/>
  <c r="G20" i="24" s="1"/>
  <c r="F21" i="24"/>
  <c r="G21" i="24"/>
  <c r="F15" i="23"/>
  <c r="G15" i="23" s="1"/>
  <c r="F16" i="23"/>
  <c r="F17" i="23"/>
  <c r="F18" i="23"/>
  <c r="F19" i="23"/>
  <c r="F20" i="23"/>
  <c r="F21" i="23"/>
  <c r="G24" i="42" l="1"/>
  <c r="G17" i="42"/>
  <c r="G25" i="41"/>
  <c r="G21" i="42"/>
  <c r="G25" i="42"/>
  <c r="G18" i="42"/>
  <c r="G15" i="42"/>
  <c r="G22" i="42"/>
  <c r="G19" i="42"/>
  <c r="G23" i="42"/>
  <c r="G16" i="42"/>
  <c r="G20" i="42"/>
  <c r="G22" i="41"/>
  <c r="G19" i="41"/>
  <c r="G23" i="41"/>
  <c r="G16" i="41"/>
  <c r="G20" i="41"/>
  <c r="G24" i="41"/>
  <c r="G17" i="41"/>
  <c r="G21" i="41"/>
  <c r="G19" i="38"/>
  <c r="G15" i="38"/>
  <c r="G17" i="38"/>
  <c r="G16" i="38"/>
  <c r="G18" i="38"/>
  <c r="G20" i="39"/>
  <c r="G15" i="39"/>
  <c r="G16" i="39"/>
  <c r="G19" i="39"/>
  <c r="G18" i="39"/>
  <c r="G17" i="39"/>
  <c r="G19" i="37"/>
  <c r="G18" i="37"/>
  <c r="G17" i="37"/>
  <c r="G30" i="36" s="1"/>
  <c r="G20" i="36"/>
  <c r="G29" i="36" s="1"/>
  <c r="G21" i="36"/>
  <c r="G20" i="35"/>
  <c r="G15" i="35"/>
  <c r="G19" i="35"/>
  <c r="G18" i="35"/>
  <c r="G32" i="36" s="1"/>
  <c r="G17" i="35"/>
  <c r="G15" i="34"/>
  <c r="G14" i="34"/>
  <c r="G20" i="34"/>
  <c r="G18" i="34"/>
  <c r="G31" i="36" s="1"/>
  <c r="G17" i="34"/>
  <c r="G16" i="34"/>
  <c r="F31" i="36" s="1"/>
  <c r="G67" i="33"/>
  <c r="G20" i="32"/>
  <c r="G19" i="26"/>
  <c r="G18" i="26"/>
  <c r="G17" i="26"/>
  <c r="G15" i="25"/>
  <c r="G20" i="25"/>
  <c r="G20" i="23"/>
  <c r="G17" i="23"/>
  <c r="G19" i="23"/>
  <c r="G18" i="23"/>
  <c r="G16" i="23"/>
  <c r="G21" i="23"/>
  <c r="H15" i="10" l="1"/>
  <c r="H16" i="11"/>
  <c r="H17" i="11"/>
  <c r="H18" i="11"/>
  <c r="H19" i="11"/>
  <c r="H20" i="11"/>
  <c r="H21" i="11"/>
  <c r="H22" i="11"/>
  <c r="H23" i="11"/>
  <c r="H24" i="11"/>
  <c r="H25" i="11"/>
  <c r="H26" i="11"/>
  <c r="H15" i="11"/>
  <c r="H18" i="16"/>
  <c r="H19" i="16"/>
  <c r="H20" i="16"/>
  <c r="H21" i="16"/>
  <c r="H22" i="16"/>
  <c r="H23" i="16"/>
  <c r="H24" i="16"/>
  <c r="H25" i="16"/>
  <c r="H26" i="16"/>
  <c r="H27" i="16"/>
  <c r="H17" i="16"/>
  <c r="H16" i="15"/>
  <c r="H17" i="15"/>
  <c r="H18" i="15"/>
  <c r="H19" i="15"/>
  <c r="H20" i="15"/>
  <c r="H21" i="15"/>
  <c r="H22" i="15"/>
  <c r="H23" i="15"/>
  <c r="H24" i="15"/>
  <c r="H25" i="15"/>
  <c r="H26" i="15"/>
  <c r="H15" i="15"/>
  <c r="I16" i="12"/>
  <c r="I17" i="12"/>
  <c r="I18" i="12"/>
  <c r="I19" i="12"/>
  <c r="I20" i="12"/>
  <c r="I21" i="12"/>
  <c r="I22" i="12"/>
  <c r="I23" i="12"/>
  <c r="I24" i="12"/>
  <c r="I25" i="12"/>
  <c r="I26" i="12"/>
  <c r="I15" i="12"/>
  <c r="H16" i="10"/>
  <c r="H17" i="10"/>
  <c r="H18" i="10"/>
  <c r="H19" i="10"/>
  <c r="H20" i="10"/>
  <c r="H21" i="10"/>
  <c r="H22" i="10"/>
  <c r="H23" i="10"/>
  <c r="H24" i="10"/>
  <c r="H25" i="10"/>
  <c r="H26" i="10"/>
  <c r="H16" i="17"/>
  <c r="H17" i="17"/>
  <c r="H18" i="17"/>
  <c r="H19" i="17"/>
  <c r="H20" i="17"/>
  <c r="H21" i="17"/>
  <c r="H22" i="17"/>
  <c r="H23" i="17"/>
  <c r="H24" i="17"/>
  <c r="H25" i="17"/>
  <c r="H15" i="17"/>
  <c r="I16" i="19"/>
  <c r="I17" i="19"/>
  <c r="I18" i="19"/>
  <c r="I19" i="19"/>
  <c r="I20" i="19"/>
  <c r="I21" i="19"/>
  <c r="I22" i="19"/>
  <c r="I23" i="19"/>
  <c r="I24" i="19"/>
  <c r="I25" i="19"/>
  <c r="I15" i="19"/>
  <c r="N24" i="19"/>
  <c r="N25" i="19"/>
  <c r="I16" i="18"/>
  <c r="I17" i="18"/>
  <c r="I18" i="18"/>
  <c r="I19" i="18"/>
  <c r="I20" i="18"/>
  <c r="I21" i="18"/>
  <c r="I22" i="18"/>
  <c r="I23" i="18"/>
  <c r="I24" i="18"/>
  <c r="I25" i="18"/>
  <c r="I15" i="18"/>
  <c r="N16" i="18"/>
  <c r="N17" i="18"/>
  <c r="N18" i="18"/>
  <c r="N19" i="18"/>
  <c r="N20" i="18"/>
  <c r="N21" i="18"/>
  <c r="N22" i="18"/>
  <c r="N23" i="18"/>
  <c r="N24" i="18"/>
  <c r="N25" i="18"/>
  <c r="N15" i="18"/>
  <c r="H16" i="18"/>
  <c r="H17" i="18"/>
  <c r="H18" i="18"/>
  <c r="H19" i="18"/>
  <c r="H20" i="18"/>
  <c r="H21" i="18"/>
  <c r="H22" i="18"/>
  <c r="H23" i="18"/>
  <c r="H24" i="18"/>
  <c r="H25" i="18"/>
  <c r="H15" i="18"/>
  <c r="M16" i="18"/>
  <c r="M17" i="18"/>
  <c r="M18" i="18"/>
  <c r="M19" i="18"/>
  <c r="M20" i="18"/>
  <c r="M21" i="18"/>
  <c r="M22" i="18"/>
  <c r="M23" i="18"/>
  <c r="M24" i="18"/>
  <c r="M25" i="18"/>
  <c r="M15" i="18"/>
  <c r="M17" i="19"/>
  <c r="M18" i="19"/>
  <c r="M19" i="19"/>
  <c r="M20" i="19"/>
  <c r="M21" i="19"/>
  <c r="M22" i="19"/>
  <c r="M23" i="19"/>
  <c r="M24" i="19"/>
  <c r="M25" i="19"/>
  <c r="M15" i="19"/>
  <c r="H16" i="19"/>
  <c r="H17" i="19"/>
  <c r="H18" i="19"/>
  <c r="H19" i="19"/>
  <c r="H20" i="19"/>
  <c r="H21" i="19"/>
  <c r="H22" i="19"/>
  <c r="H23" i="19"/>
  <c r="H24" i="19"/>
  <c r="H25" i="19"/>
  <c r="H15" i="19"/>
  <c r="L18" i="19"/>
  <c r="L19" i="19"/>
  <c r="L20" i="19"/>
  <c r="L21" i="19"/>
  <c r="L22" i="19"/>
  <c r="L15" i="19"/>
  <c r="K16" i="19"/>
  <c r="N16" i="19" s="1"/>
  <c r="K17" i="19"/>
  <c r="N17" i="19" s="1"/>
  <c r="K18" i="19"/>
  <c r="N18" i="19" s="1"/>
  <c r="K19" i="19"/>
  <c r="N19" i="19" s="1"/>
  <c r="K20" i="19"/>
  <c r="N20" i="19" s="1"/>
  <c r="K21" i="19"/>
  <c r="N21" i="19" s="1"/>
  <c r="K22" i="19"/>
  <c r="N22" i="19" s="1"/>
  <c r="K23" i="19"/>
  <c r="N23" i="19" s="1"/>
  <c r="K24" i="19"/>
  <c r="K25" i="19"/>
  <c r="K15" i="19"/>
  <c r="L23" i="19" s="1"/>
  <c r="L21" i="18"/>
  <c r="F15" i="18"/>
  <c r="G15" i="18" s="1"/>
  <c r="K16" i="18"/>
  <c r="L16" i="18" s="1"/>
  <c r="K17" i="18"/>
  <c r="L17" i="18" s="1"/>
  <c r="K18" i="18"/>
  <c r="L18" i="18" s="1"/>
  <c r="K19" i="18"/>
  <c r="L19" i="18" s="1"/>
  <c r="K20" i="18"/>
  <c r="L20" i="18" s="1"/>
  <c r="K21" i="18"/>
  <c r="K22" i="18"/>
  <c r="K23" i="18"/>
  <c r="K24" i="18"/>
  <c r="K25" i="18"/>
  <c r="K15" i="18"/>
  <c r="L22" i="18" s="1"/>
  <c r="L17" i="19" l="1"/>
  <c r="L25" i="19"/>
  <c r="L24" i="19"/>
  <c r="L15" i="18"/>
  <c r="L25" i="18"/>
  <c r="L24" i="18"/>
  <c r="L23" i="18"/>
  <c r="C32" i="19" l="1"/>
  <c r="C31" i="19"/>
  <c r="C29" i="19"/>
  <c r="C28" i="19"/>
  <c r="C31" i="18"/>
  <c r="C30" i="18"/>
  <c r="C28" i="18"/>
  <c r="C27" i="18"/>
  <c r="F25" i="19"/>
  <c r="F24" i="19"/>
  <c r="F23" i="19"/>
  <c r="F22" i="19"/>
  <c r="F21" i="19"/>
  <c r="F20" i="19"/>
  <c r="F19" i="19"/>
  <c r="F18" i="19"/>
  <c r="F17" i="19"/>
  <c r="F16" i="19"/>
  <c r="F15" i="19"/>
  <c r="F25" i="18"/>
  <c r="F24" i="18"/>
  <c r="F23" i="18"/>
  <c r="G23" i="18" s="1"/>
  <c r="F22" i="18"/>
  <c r="G22" i="18" s="1"/>
  <c r="F21" i="18"/>
  <c r="F20" i="18"/>
  <c r="F19" i="18"/>
  <c r="F18" i="18"/>
  <c r="F17" i="18"/>
  <c r="F16" i="18"/>
  <c r="G16" i="18" s="1"/>
  <c r="K18" i="17"/>
  <c r="K17" i="17"/>
  <c r="K15" i="17"/>
  <c r="K14" i="17"/>
  <c r="K20" i="16"/>
  <c r="K19" i="16"/>
  <c r="K17" i="16"/>
  <c r="K16" i="16"/>
  <c r="F25" i="17"/>
  <c r="F24" i="17"/>
  <c r="G24" i="17" s="1"/>
  <c r="F23" i="17"/>
  <c r="G23" i="17" s="1"/>
  <c r="F22" i="17"/>
  <c r="G22" i="17" s="1"/>
  <c r="F21" i="17"/>
  <c r="F20" i="17"/>
  <c r="F19" i="17"/>
  <c r="F18" i="17"/>
  <c r="F17" i="17"/>
  <c r="F16" i="17"/>
  <c r="F15" i="17"/>
  <c r="F27" i="16"/>
  <c r="F26" i="16"/>
  <c r="F25" i="16"/>
  <c r="G25" i="16" s="1"/>
  <c r="F24" i="16"/>
  <c r="F23" i="16"/>
  <c r="F22" i="16"/>
  <c r="F21" i="16"/>
  <c r="F20" i="16"/>
  <c r="F19" i="16"/>
  <c r="F18" i="16"/>
  <c r="F17" i="16"/>
  <c r="K17" i="15"/>
  <c r="K14" i="15"/>
  <c r="F26" i="15"/>
  <c r="F25" i="15"/>
  <c r="F24" i="15"/>
  <c r="F23" i="15"/>
  <c r="G23" i="15" s="1"/>
  <c r="F22" i="15"/>
  <c r="G22" i="15" s="1"/>
  <c r="F21" i="15"/>
  <c r="G21" i="15" s="1"/>
  <c r="F20" i="15"/>
  <c r="G20" i="15" s="1"/>
  <c r="F19" i="15"/>
  <c r="K18" i="15"/>
  <c r="F18" i="15"/>
  <c r="F17" i="15"/>
  <c r="F16" i="15"/>
  <c r="K15" i="15"/>
  <c r="F15" i="15"/>
  <c r="G15" i="15" s="1"/>
  <c r="J18" i="13"/>
  <c r="J17" i="13"/>
  <c r="J15" i="13"/>
  <c r="J14" i="13"/>
  <c r="F19" i="13"/>
  <c r="F18" i="13"/>
  <c r="F17" i="13"/>
  <c r="F16" i="13"/>
  <c r="F15" i="13"/>
  <c r="G15" i="13" s="1"/>
  <c r="H19" i="12"/>
  <c r="G16" i="12"/>
  <c r="G17" i="12"/>
  <c r="G18" i="12"/>
  <c r="G19" i="12"/>
  <c r="G20" i="12"/>
  <c r="G21" i="12"/>
  <c r="G22" i="12"/>
  <c r="G23" i="12"/>
  <c r="G24" i="12"/>
  <c r="G25" i="12"/>
  <c r="G26" i="12"/>
  <c r="G15" i="12"/>
  <c r="F16" i="12"/>
  <c r="F17" i="12"/>
  <c r="F18" i="12"/>
  <c r="F19" i="12"/>
  <c r="F20" i="12"/>
  <c r="F21" i="12"/>
  <c r="F22" i="12"/>
  <c r="F23" i="12"/>
  <c r="F24" i="12"/>
  <c r="F25" i="12"/>
  <c r="F26" i="12"/>
  <c r="F15" i="12"/>
  <c r="L18" i="12"/>
  <c r="L17" i="12"/>
  <c r="L15" i="12"/>
  <c r="L14" i="12"/>
  <c r="K18" i="11"/>
  <c r="K17" i="11"/>
  <c r="K15" i="11"/>
  <c r="K14" i="11"/>
  <c r="F26" i="11"/>
  <c r="F25" i="11"/>
  <c r="F24" i="11"/>
  <c r="F23" i="11"/>
  <c r="F22" i="11"/>
  <c r="F21" i="11"/>
  <c r="F20" i="11"/>
  <c r="F19" i="11"/>
  <c r="F18" i="11"/>
  <c r="F17" i="11"/>
  <c r="F16" i="11"/>
  <c r="F15" i="11"/>
  <c r="K18" i="10"/>
  <c r="K17" i="10"/>
  <c r="K15" i="10"/>
  <c r="K14" i="10"/>
  <c r="F26" i="10"/>
  <c r="F25" i="10"/>
  <c r="F24" i="10"/>
  <c r="G24" i="10" s="1"/>
  <c r="F23" i="10"/>
  <c r="G23" i="10" s="1"/>
  <c r="F22" i="10"/>
  <c r="G22" i="10" s="1"/>
  <c r="F21" i="10"/>
  <c r="G21" i="10" s="1"/>
  <c r="F20" i="10"/>
  <c r="G20" i="10" s="1"/>
  <c r="F19" i="10"/>
  <c r="F18" i="10"/>
  <c r="G18" i="10" s="1"/>
  <c r="F17" i="10"/>
  <c r="G17" i="10" s="1"/>
  <c r="F16" i="10"/>
  <c r="G16" i="10" s="1"/>
  <c r="F15" i="10"/>
  <c r="F26" i="9"/>
  <c r="G26" i="9" s="1"/>
  <c r="J18" i="9"/>
  <c r="J17" i="9"/>
  <c r="J15" i="9"/>
  <c r="J14" i="9"/>
  <c r="F25" i="9"/>
  <c r="F24" i="9"/>
  <c r="F23" i="9"/>
  <c r="F22" i="9"/>
  <c r="F21" i="9"/>
  <c r="F20" i="9"/>
  <c r="F19" i="9"/>
  <c r="F18" i="9"/>
  <c r="F17" i="9"/>
  <c r="F16" i="9"/>
  <c r="F15" i="9"/>
  <c r="F16" i="3"/>
  <c r="F17" i="3"/>
  <c r="F18" i="3"/>
  <c r="F19" i="3"/>
  <c r="F20" i="3"/>
  <c r="F21" i="3"/>
  <c r="F22" i="3"/>
  <c r="F23" i="3"/>
  <c r="F24" i="3"/>
  <c r="F25" i="3"/>
  <c r="F15" i="3"/>
  <c r="F17" i="6"/>
  <c r="F18" i="6"/>
  <c r="F19" i="6"/>
  <c r="F20" i="6"/>
  <c r="F21" i="6"/>
  <c r="F22" i="6"/>
  <c r="F23" i="6"/>
  <c r="F24" i="6"/>
  <c r="F25" i="6"/>
  <c r="F16" i="6"/>
  <c r="F15" i="6"/>
  <c r="F17" i="5"/>
  <c r="F18" i="5"/>
  <c r="F19" i="5"/>
  <c r="F20" i="5"/>
  <c r="F21" i="5"/>
  <c r="F22" i="5"/>
  <c r="F23" i="5"/>
  <c r="F24" i="5"/>
  <c r="F25" i="5"/>
  <c r="F16" i="5"/>
  <c r="F15" i="5"/>
  <c r="F17" i="1"/>
  <c r="F18" i="1"/>
  <c r="F19" i="1"/>
  <c r="F20" i="1"/>
  <c r="F21" i="1"/>
  <c r="F22" i="1"/>
  <c r="F23" i="1"/>
  <c r="F24" i="1"/>
  <c r="F25" i="1"/>
  <c r="F16" i="1"/>
  <c r="F15" i="1"/>
  <c r="F17" i="4"/>
  <c r="F18" i="4"/>
  <c r="F19" i="4"/>
  <c r="F20" i="4"/>
  <c r="F21" i="4"/>
  <c r="F22" i="4"/>
  <c r="F23" i="4"/>
  <c r="F24" i="4"/>
  <c r="F25" i="4"/>
  <c r="F16" i="4"/>
  <c r="F15" i="4"/>
  <c r="F16" i="2"/>
  <c r="F17" i="2"/>
  <c r="F18" i="2"/>
  <c r="F19" i="2"/>
  <c r="F20" i="2"/>
  <c r="F21" i="2"/>
  <c r="F22" i="2"/>
  <c r="F23" i="2"/>
  <c r="F24" i="2"/>
  <c r="F25" i="2"/>
  <c r="F15" i="2"/>
  <c r="G22" i="19" l="1"/>
  <c r="G23" i="19"/>
  <c r="G25" i="19"/>
  <c r="G15" i="19"/>
  <c r="G24" i="19"/>
  <c r="G16" i="19"/>
  <c r="G18" i="19"/>
  <c r="G17" i="19"/>
  <c r="G20" i="19"/>
  <c r="G21" i="19"/>
  <c r="G18" i="18"/>
  <c r="G20" i="18"/>
  <c r="G25" i="18"/>
  <c r="G21" i="18"/>
  <c r="G24" i="18"/>
  <c r="G17" i="18"/>
  <c r="G19" i="19"/>
  <c r="G19" i="18"/>
  <c r="G16" i="17"/>
  <c r="G17" i="17"/>
  <c r="G18" i="17"/>
  <c r="G21" i="17"/>
  <c r="G19" i="16"/>
  <c r="G22" i="16"/>
  <c r="G27" i="16"/>
  <c r="G26" i="16"/>
  <c r="G17" i="16"/>
  <c r="G18" i="16"/>
  <c r="G20" i="16"/>
  <c r="G19" i="17"/>
  <c r="G25" i="17"/>
  <c r="G15" i="17"/>
  <c r="G20" i="17"/>
  <c r="G23" i="16"/>
  <c r="G24" i="16"/>
  <c r="G21" i="16"/>
  <c r="G24" i="15"/>
  <c r="G16" i="15"/>
  <c r="G17" i="15"/>
  <c r="G26" i="15"/>
  <c r="G18" i="15"/>
  <c r="G19" i="15"/>
  <c r="G25" i="15"/>
  <c r="G16" i="13"/>
  <c r="G17" i="13"/>
  <c r="G18" i="13"/>
  <c r="G19" i="13"/>
  <c r="H26" i="12"/>
  <c r="H20" i="12"/>
  <c r="H21" i="12"/>
  <c r="H16" i="12"/>
  <c r="H22" i="12"/>
  <c r="H17" i="12"/>
  <c r="H23" i="12"/>
  <c r="H18" i="12"/>
  <c r="H24" i="12"/>
  <c r="H15" i="12"/>
  <c r="H25" i="12"/>
  <c r="G26" i="11"/>
  <c r="G20" i="11"/>
  <c r="G21" i="11"/>
  <c r="G16" i="11"/>
  <c r="G22" i="11"/>
  <c r="G17" i="11"/>
  <c r="G23" i="11"/>
  <c r="G18" i="11"/>
  <c r="G24" i="11"/>
  <c r="G15" i="11"/>
  <c r="G25" i="11"/>
  <c r="G19" i="11"/>
  <c r="G25" i="10"/>
  <c r="G26" i="10"/>
  <c r="G15" i="10"/>
  <c r="G19" i="10"/>
  <c r="G25" i="9"/>
  <c r="G19" i="9"/>
  <c r="G20" i="9"/>
  <c r="G15" i="9"/>
  <c r="G21" i="9"/>
  <c r="G22" i="9"/>
  <c r="G17" i="9"/>
  <c r="G23" i="9"/>
  <c r="G16" i="9"/>
  <c r="G24" i="9"/>
  <c r="G18" i="9"/>
  <c r="J17" i="5"/>
  <c r="J14" i="5"/>
  <c r="J18" i="1"/>
  <c r="J17" i="6"/>
  <c r="J14" i="6"/>
  <c r="G25" i="5"/>
  <c r="G19" i="5"/>
  <c r="G18" i="5"/>
  <c r="G23" i="1"/>
  <c r="G15" i="4"/>
  <c r="G15" i="3"/>
  <c r="G16" i="3"/>
  <c r="G17" i="3"/>
  <c r="G18" i="3"/>
  <c r="G19" i="3"/>
  <c r="G20" i="3"/>
  <c r="G21" i="3"/>
  <c r="G22" i="3"/>
  <c r="G23" i="3"/>
  <c r="G24" i="3"/>
  <c r="G25" i="3"/>
  <c r="G15" i="2"/>
  <c r="G23" i="5" l="1"/>
  <c r="G20" i="5"/>
  <c r="G24" i="5"/>
  <c r="G18" i="1"/>
  <c r="G19" i="1"/>
  <c r="G20" i="1"/>
  <c r="G24" i="1"/>
  <c r="G25" i="1"/>
  <c r="G21" i="6"/>
  <c r="G16" i="6"/>
  <c r="G18" i="6"/>
  <c r="G19" i="6"/>
  <c r="G20" i="6"/>
  <c r="G17" i="6"/>
  <c r="G22" i="6"/>
  <c r="G23" i="6"/>
  <c r="G24" i="6"/>
  <c r="G25" i="6"/>
  <c r="G15" i="6"/>
  <c r="G15" i="5"/>
  <c r="G21" i="5"/>
  <c r="G16" i="5"/>
  <c r="G22" i="5"/>
  <c r="G17" i="5"/>
  <c r="G15" i="1"/>
  <c r="G21" i="1"/>
  <c r="G16" i="1"/>
  <c r="G22" i="1"/>
  <c r="G17" i="1"/>
  <c r="G20" i="4"/>
  <c r="G25" i="4"/>
  <c r="G19" i="4"/>
  <c r="G24" i="4"/>
  <c r="G18" i="4"/>
  <c r="G23" i="4"/>
  <c r="G17" i="4"/>
  <c r="G22" i="4"/>
  <c r="G16" i="4"/>
  <c r="G21" i="4"/>
  <c r="G20" i="2"/>
  <c r="G25" i="2"/>
  <c r="G19" i="2"/>
  <c r="G24" i="2"/>
  <c r="G18" i="2"/>
  <c r="G23" i="2"/>
  <c r="G17" i="2"/>
  <c r="G22" i="2"/>
  <c r="G16" i="2"/>
  <c r="G21" i="2"/>
</calcChain>
</file>

<file path=xl/sharedStrings.xml><?xml version="1.0" encoding="utf-8"?>
<sst xmlns="http://schemas.openxmlformats.org/spreadsheetml/2006/main" count="1838" uniqueCount="195">
  <si>
    <t>RECTA CALIBRADO HPLC COLUMNA NUEVA NEWTON</t>
  </si>
  <si>
    <t>Columna Zorbax Eclipse XD8-C8</t>
  </si>
  <si>
    <t>Área</t>
  </si>
  <si>
    <t>Concentración (mg/L)</t>
  </si>
  <si>
    <t xml:space="preserve">RECTA CALIBRADO HPLC COLUMNA NUEVA </t>
  </si>
  <si>
    <t>CONTAMINANTE</t>
  </si>
  <si>
    <t>SAL</t>
  </si>
  <si>
    <t>Recipiente</t>
  </si>
  <si>
    <t>PARTE ELECTRO</t>
  </si>
  <si>
    <t>PARTE FOTO</t>
  </si>
  <si>
    <t>AIREACIÓN</t>
  </si>
  <si>
    <t>AGITACIÓN</t>
  </si>
  <si>
    <t>pH</t>
  </si>
  <si>
    <t>CONDUCTIVIDAD</t>
  </si>
  <si>
    <t>OBSERVACIONES</t>
  </si>
  <si>
    <t>Experimento</t>
  </si>
  <si>
    <t>Tratamiento</t>
  </si>
  <si>
    <t>Tipo</t>
  </si>
  <si>
    <t>Concentración SMX (ppm)</t>
  </si>
  <si>
    <t>Concentración ANT (ppm)</t>
  </si>
  <si>
    <r>
      <t>Concentración Na</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 xml:space="preserve"> (mM)</t>
    </r>
  </si>
  <si>
    <t>Tipo2</t>
  </si>
  <si>
    <t>Volumen (ml)</t>
  </si>
  <si>
    <t>Ánodo</t>
  </si>
  <si>
    <t>Cátodo</t>
  </si>
  <si>
    <t>Voltaje (V)</t>
  </si>
  <si>
    <t>Distancia entre electrodos (cm)</t>
  </si>
  <si>
    <t>Intensidad (mA)</t>
  </si>
  <si>
    <t>Foto</t>
  </si>
  <si>
    <t>Modelo</t>
  </si>
  <si>
    <t>Aire</t>
  </si>
  <si>
    <t>Caudal (L/min)</t>
  </si>
  <si>
    <t>EQUIPO</t>
  </si>
  <si>
    <t>VELOCIDAD</t>
  </si>
  <si>
    <r>
      <t>Fibra g-C</t>
    </r>
    <r>
      <rPr>
        <vertAlign val="subscript"/>
        <sz val="11"/>
        <color theme="1"/>
        <rFont val="Calibri"/>
        <family val="2"/>
        <scheme val="minor"/>
      </rPr>
      <t>3</t>
    </r>
    <r>
      <rPr>
        <sz val="11"/>
        <color theme="1"/>
        <rFont val="Calibri"/>
        <family val="2"/>
        <scheme val="minor"/>
      </rPr>
      <t>N</t>
    </r>
    <r>
      <rPr>
        <vertAlign val="subscript"/>
        <sz val="11"/>
        <color theme="1"/>
        <rFont val="Calibri"/>
        <family val="2"/>
        <scheme val="minor"/>
      </rPr>
      <t>4</t>
    </r>
  </si>
  <si>
    <r>
      <t>Uso fibra g-C</t>
    </r>
    <r>
      <rPr>
        <vertAlign val="subscript"/>
        <sz val="11"/>
        <color theme="1"/>
        <rFont val="Calibri"/>
        <family val="2"/>
        <scheme val="minor"/>
      </rPr>
      <t>3</t>
    </r>
    <r>
      <rPr>
        <sz val="11"/>
        <color theme="1"/>
        <rFont val="Calibri"/>
        <family val="2"/>
        <scheme val="minor"/>
      </rPr>
      <t>N</t>
    </r>
    <r>
      <rPr>
        <vertAlign val="subscript"/>
        <sz val="11"/>
        <color theme="1"/>
        <rFont val="Calibri"/>
        <family val="2"/>
        <scheme val="minor"/>
      </rPr>
      <t>4</t>
    </r>
  </si>
  <si>
    <t>Fibra MOF-Fe</t>
  </si>
  <si>
    <t>Uso fibra MOF-Fe</t>
  </si>
  <si>
    <r>
      <t>Fibra MOF-Fe + g-C</t>
    </r>
    <r>
      <rPr>
        <vertAlign val="subscript"/>
        <sz val="11"/>
        <color theme="1"/>
        <rFont val="Calibri"/>
        <family val="2"/>
        <scheme val="minor"/>
      </rPr>
      <t>3</t>
    </r>
    <r>
      <rPr>
        <sz val="11"/>
        <color theme="1"/>
        <rFont val="Calibri"/>
        <family val="2"/>
        <scheme val="minor"/>
      </rPr>
      <t>N</t>
    </r>
    <r>
      <rPr>
        <vertAlign val="subscript"/>
        <sz val="11"/>
        <color theme="1"/>
        <rFont val="Calibri"/>
        <family val="2"/>
        <scheme val="minor"/>
      </rPr>
      <t>4</t>
    </r>
  </si>
  <si>
    <r>
      <t>Uso fibra MOF-Fe + g-C</t>
    </r>
    <r>
      <rPr>
        <vertAlign val="subscript"/>
        <sz val="11"/>
        <color theme="1"/>
        <rFont val="Calibri"/>
        <family val="2"/>
        <scheme val="minor"/>
      </rPr>
      <t>3</t>
    </r>
    <r>
      <rPr>
        <sz val="11"/>
        <color theme="1"/>
        <rFont val="Calibri"/>
        <family val="2"/>
        <scheme val="minor"/>
      </rPr>
      <t>N</t>
    </r>
    <r>
      <rPr>
        <vertAlign val="subscript"/>
        <sz val="11"/>
        <color theme="1"/>
        <rFont val="Calibri"/>
        <family val="2"/>
        <scheme val="minor"/>
      </rPr>
      <t>4</t>
    </r>
  </si>
  <si>
    <r>
      <t>H</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2</t>
    </r>
  </si>
  <si>
    <t>PMS</t>
  </si>
  <si>
    <r>
      <t>pH</t>
    </r>
    <r>
      <rPr>
        <vertAlign val="subscript"/>
        <sz val="11"/>
        <color theme="1"/>
        <rFont val="Calibri"/>
        <family val="2"/>
        <scheme val="minor"/>
      </rPr>
      <t>i</t>
    </r>
  </si>
  <si>
    <r>
      <t>pH</t>
    </r>
    <r>
      <rPr>
        <vertAlign val="subscript"/>
        <sz val="11"/>
        <color theme="1"/>
        <rFont val="Calibri"/>
        <family val="2"/>
        <scheme val="minor"/>
      </rPr>
      <t>f</t>
    </r>
  </si>
  <si>
    <r>
      <t>Conductividad</t>
    </r>
    <r>
      <rPr>
        <vertAlign val="subscript"/>
        <sz val="11"/>
        <color theme="1"/>
        <rFont val="Calibri"/>
        <family val="2"/>
        <scheme val="minor"/>
      </rPr>
      <t>i</t>
    </r>
  </si>
  <si>
    <r>
      <t>Conductividad</t>
    </r>
    <r>
      <rPr>
        <vertAlign val="subscript"/>
        <sz val="11"/>
        <color theme="1"/>
        <rFont val="Calibri"/>
        <family val="2"/>
        <scheme val="minor"/>
      </rPr>
      <t>f</t>
    </r>
  </si>
  <si>
    <t>A</t>
  </si>
  <si>
    <t>OA</t>
  </si>
  <si>
    <t>SMX</t>
  </si>
  <si>
    <t>-</t>
  </si>
  <si>
    <t>Cristalizador</t>
  </si>
  <si>
    <t>BDD</t>
  </si>
  <si>
    <t>Titanio modificado</t>
  </si>
  <si>
    <t>Variable</t>
  </si>
  <si>
    <t>No</t>
  </si>
  <si>
    <t>Agitador nuevo</t>
  </si>
  <si>
    <t>35 rpm</t>
  </si>
  <si>
    <t>B</t>
  </si>
  <si>
    <t>Si</t>
  </si>
  <si>
    <t>C</t>
  </si>
  <si>
    <t>Electro con fibra g-C3N4</t>
  </si>
  <si>
    <t>Primero</t>
  </si>
  <si>
    <t>D</t>
  </si>
  <si>
    <t>EF</t>
  </si>
  <si>
    <t>E</t>
  </si>
  <si>
    <t>Todo</t>
  </si>
  <si>
    <t>Lámpara Led UV-A 30 W 365nm</t>
  </si>
  <si>
    <t>F</t>
  </si>
  <si>
    <t>G</t>
  </si>
  <si>
    <t>Control Foto</t>
  </si>
  <si>
    <t>Vaso cuarzo</t>
  </si>
  <si>
    <t>50 rpm</t>
  </si>
  <si>
    <t>H</t>
  </si>
  <si>
    <t>OA + Foto</t>
  </si>
  <si>
    <t>I</t>
  </si>
  <si>
    <t>J</t>
  </si>
  <si>
    <t>K</t>
  </si>
  <si>
    <t>L</t>
  </si>
  <si>
    <t>Segundo</t>
  </si>
  <si>
    <t xml:space="preserve">Segundo </t>
  </si>
  <si>
    <t>Tercero</t>
  </si>
  <si>
    <t>M</t>
  </si>
  <si>
    <t>N</t>
  </si>
  <si>
    <t>Ñ</t>
  </si>
  <si>
    <t>O</t>
  </si>
  <si>
    <t>P</t>
  </si>
  <si>
    <t>Q</t>
  </si>
  <si>
    <t>R</t>
  </si>
  <si>
    <t>S</t>
  </si>
  <si>
    <t>AA</t>
  </si>
  <si>
    <t>AB</t>
  </si>
  <si>
    <t>Todo en dos fases</t>
  </si>
  <si>
    <t>AC</t>
  </si>
  <si>
    <t>AD</t>
  </si>
  <si>
    <t>AE</t>
  </si>
  <si>
    <t>AF</t>
  </si>
  <si>
    <t>AG</t>
  </si>
  <si>
    <t>AH</t>
  </si>
  <si>
    <t>EF + H2O2</t>
  </si>
  <si>
    <t>Segundo (mismo que el AG)</t>
  </si>
  <si>
    <t>10 ppm</t>
  </si>
  <si>
    <r>
      <t>Se inyecta H</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2</t>
    </r>
    <r>
      <rPr>
        <sz val="11"/>
        <color theme="1"/>
        <rFont val="Calibri"/>
        <family val="2"/>
        <scheme val="minor"/>
      </rPr>
      <t xml:space="preserve"> al principio del experimento para que haya una concentración en la disolución de 10 ppm de H</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2</t>
    </r>
  </si>
  <si>
    <t>AI</t>
  </si>
  <si>
    <t>EF + PMS</t>
  </si>
  <si>
    <t>1 mM</t>
  </si>
  <si>
    <t>Se inyecta al inicio 0,25 ml de PMS para que la disolución tenga una concentración de PMS 1mM. Cada vez que se coge una muestra se para la reacción con tiosulfato. La concentración de tiosulfato en la muestra tiene que ser 10 veces más que la de PMS, en este caso se echan 0,05 ml de tiosulfato en cada muestra</t>
  </si>
  <si>
    <t>AJ</t>
  </si>
  <si>
    <t>2 mM</t>
  </si>
  <si>
    <t>Se inyecta al inicio 0,5 ml de PMS para que la disolución tenga una concentración de PMS 2mM. Cada vez que se coge una muestra se para la reacción con tiosulfato. La concentración de tiosulfato en la muestra tiene que ser 10 veces más que la de PMS, en este caso se echan 0,10 ml de tiosulfato en cada muestra</t>
  </si>
  <si>
    <t>AK</t>
  </si>
  <si>
    <t>AL</t>
  </si>
  <si>
    <t>Mezcla SMX y ANT</t>
  </si>
  <si>
    <t>AM</t>
  </si>
  <si>
    <t>AN</t>
  </si>
  <si>
    <t>ANT</t>
  </si>
  <si>
    <t>AÑ</t>
  </si>
  <si>
    <t>AO</t>
  </si>
  <si>
    <t>Segundo mismo que el AM</t>
  </si>
  <si>
    <t>Fecha</t>
  </si>
  <si>
    <t>Contaminante</t>
  </si>
  <si>
    <r>
      <t>Fibra g-C</t>
    </r>
    <r>
      <rPr>
        <b/>
        <vertAlign val="subscript"/>
        <sz val="11"/>
        <color theme="1"/>
        <rFont val="Calibri"/>
        <family val="2"/>
        <scheme val="minor"/>
      </rPr>
      <t>3</t>
    </r>
    <r>
      <rPr>
        <b/>
        <sz val="11"/>
        <color theme="1"/>
        <rFont val="Calibri"/>
        <family val="2"/>
        <scheme val="minor"/>
      </rPr>
      <t>N</t>
    </r>
    <r>
      <rPr>
        <b/>
        <vertAlign val="subscript"/>
        <sz val="11"/>
        <color theme="1"/>
        <rFont val="Calibri"/>
        <family val="2"/>
        <scheme val="minor"/>
      </rPr>
      <t>4</t>
    </r>
  </si>
  <si>
    <t>Lámpara</t>
  </si>
  <si>
    <t>Electrodos</t>
  </si>
  <si>
    <t>Aireación</t>
  </si>
  <si>
    <t>Agitación</t>
  </si>
  <si>
    <r>
      <t>75 ml disolución 10 ppm SMX y 10mM Na</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 xml:space="preserve"> en cristalizador</t>
    </r>
  </si>
  <si>
    <t>NO</t>
  </si>
  <si>
    <t>Intensidad constante (100 mA) Ánodo: BBD                      Cátodo: Titanio con superficie modificada</t>
  </si>
  <si>
    <t>Shaker nuevo 35 rpm</t>
  </si>
  <si>
    <t>t (min)</t>
  </si>
  <si>
    <t>V (V)</t>
  </si>
  <si>
    <t>I (mA)</t>
  </si>
  <si>
    <t>Area</t>
  </si>
  <si>
    <t>Concentracion (mg/L)</t>
  </si>
  <si>
    <t>Degradación (%)</t>
  </si>
  <si>
    <t>pH inicial</t>
  </si>
  <si>
    <t>pH final</t>
  </si>
  <si>
    <t>Conductividad inicial (mS/cm)</t>
  </si>
  <si>
    <t>Conductividad final (mS/cm)</t>
  </si>
  <si>
    <t>1 L/min punta pipeta amarilla</t>
  </si>
  <si>
    <t>Shaker nuevo 20-50 rpm</t>
  </si>
  <si>
    <t>15 min</t>
  </si>
  <si>
    <t>45 min</t>
  </si>
  <si>
    <t>Electro-Fenton MOF-Fe</t>
  </si>
  <si>
    <t>Electro-Fenton        g-C3N4</t>
  </si>
  <si>
    <t>Electro-Fenton MOF-Fe + g-C3N4</t>
  </si>
  <si>
    <t>Foto-Electro-Fenton MOF-Fe + g-C3N4</t>
  </si>
  <si>
    <r>
      <t>Fibra MOF-Fe + g-C</t>
    </r>
    <r>
      <rPr>
        <b/>
        <vertAlign val="subscript"/>
        <sz val="11"/>
        <color theme="1"/>
        <rFont val="Calibri"/>
        <family val="2"/>
        <scheme val="minor"/>
      </rPr>
      <t>3</t>
    </r>
    <r>
      <rPr>
        <b/>
        <sz val="11"/>
        <color theme="1"/>
        <rFont val="Calibri"/>
        <family val="2"/>
        <scheme val="minor"/>
      </rPr>
      <t>N</t>
    </r>
    <r>
      <rPr>
        <b/>
        <vertAlign val="subscript"/>
        <sz val="11"/>
        <color theme="1"/>
        <rFont val="Calibri"/>
        <family val="2"/>
        <scheme val="minor"/>
      </rPr>
      <t>4</t>
    </r>
  </si>
  <si>
    <t>Desde arriba colocada sobre el cristalizador, distancia entre superficie disolucion y lampara de 12 cm</t>
  </si>
  <si>
    <r>
      <t>75 ml disolución 10 ppm SMX y 10mM Na</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 xml:space="preserve"> en recipiente de cuarzo</t>
    </r>
  </si>
  <si>
    <t>Colocada sobre el shaker, debajo del recipiente de cuarzo en contacto directo</t>
  </si>
  <si>
    <t>0,5 L/min punta pipeta amarilla</t>
  </si>
  <si>
    <t>0,090 g situada entre los electrodos</t>
  </si>
  <si>
    <t>0,200 g situada en la parte inferior del vaso de cuarzo</t>
  </si>
  <si>
    <t>PRIMER USO</t>
  </si>
  <si>
    <t>0,155 g situada entre los electrodos</t>
  </si>
  <si>
    <t>0,201 g situada en la parte inferior del vaso de cuarzo</t>
  </si>
  <si>
    <t>SEGUNDO USO</t>
  </si>
  <si>
    <t>TERCER USO</t>
  </si>
  <si>
    <t>0,055 g situada entre los electrodos</t>
  </si>
  <si>
    <t>0,108 g situada en la parte inferior del vaso de cuarzo</t>
  </si>
  <si>
    <t>Intensidad constante (50 mA) Ánodo: BBD                      Cátodo: Titanio con superficie modificada</t>
  </si>
  <si>
    <t>Intensidad constante (25 mA) Ánodo: BBD                      Cátodo: Titanio con superficie modificada</t>
  </si>
  <si>
    <t>0,092 g situada entre los electrodos</t>
  </si>
  <si>
    <t>0,104 g situada entre los electrodos</t>
  </si>
  <si>
    <r>
      <t>75 ml disolución 25 ppm SMX y 10mM Na</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 xml:space="preserve"> en recipiente de cuarzo</t>
    </r>
  </si>
  <si>
    <t>0,100 g</t>
  </si>
  <si>
    <r>
      <t>75 ml disolución 50 ppm SMX y 10mM Na</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 xml:space="preserve"> en recipiente de cuarzo</t>
    </r>
  </si>
  <si>
    <t>LN (C/C0)</t>
  </si>
  <si>
    <t>Area agua restar</t>
  </si>
  <si>
    <t>Area bien</t>
  </si>
  <si>
    <t>ln (C/C0)</t>
  </si>
  <si>
    <t>H2O2</t>
  </si>
  <si>
    <t>0,203 (fibra reutilizada del experimento AG)</t>
  </si>
  <si>
    <t>10 mM</t>
  </si>
  <si>
    <t>Concentración PMS</t>
  </si>
  <si>
    <t>Usamos tiosulfato para parar la reacción y poder medir en el HPLC</t>
  </si>
  <si>
    <t>Para parar la reacción la concentración de tiosulfato en la muestra debe ser 10 veces mayor que la de PMS (en este caso 20mM)</t>
  </si>
  <si>
    <t>De una disolución 100mM de tiosulfato echamos 0,100 ml en cada muestra (las muestras son de 0,5 ml)</t>
  </si>
  <si>
    <r>
      <t>75 ml disolución 50 ppm SMX, 50 ppm ANT y 10mM Na</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 xml:space="preserve"> en recipiente de cuarzo</t>
    </r>
  </si>
  <si>
    <t>Área SMX</t>
  </si>
  <si>
    <t>Concentracion SMX (mg/L)</t>
  </si>
  <si>
    <t>Degradación SMX (%)</t>
  </si>
  <si>
    <t>Degradación SMX Área (%)</t>
  </si>
  <si>
    <t>Área ANT</t>
  </si>
  <si>
    <t>Concentración ANT (mg/L)</t>
  </si>
  <si>
    <t>Degradación ANT (%)</t>
  </si>
  <si>
    <t>Degradación ANT Área (%)</t>
  </si>
  <si>
    <t>ln(C/C0)</t>
  </si>
  <si>
    <t>0,083 g</t>
  </si>
  <si>
    <r>
      <t>75 ml disolución 50 ppm ANT y 10mM Na</t>
    </r>
    <r>
      <rPr>
        <vertAlign val="subscript"/>
        <sz val="11"/>
        <color theme="1"/>
        <rFont val="Calibri"/>
        <family val="2"/>
        <scheme val="minor"/>
      </rPr>
      <t>2</t>
    </r>
    <r>
      <rPr>
        <sz val="11"/>
        <color theme="1"/>
        <rFont val="Calibri"/>
        <family val="2"/>
        <scheme val="minor"/>
      </rPr>
      <t>SO</t>
    </r>
    <r>
      <rPr>
        <vertAlign val="subscript"/>
        <sz val="11"/>
        <color theme="1"/>
        <rFont val="Calibri"/>
        <family val="2"/>
        <scheme val="minor"/>
      </rPr>
      <t>4</t>
    </r>
    <r>
      <rPr>
        <sz val="11"/>
        <color theme="1"/>
        <rFont val="Calibri"/>
        <family val="2"/>
        <scheme val="minor"/>
      </rPr>
      <t xml:space="preserve"> en recipiente de cuarzo</t>
    </r>
  </si>
  <si>
    <t>Degradación área (%)</t>
  </si>
  <si>
    <t>0,082 g</t>
  </si>
  <si>
    <t xml:space="preserve">100 mA </t>
  </si>
  <si>
    <t>10 ppm SMX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</si>
</sst>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font>
      <sz val="11"/>
      <color theme="1"/>
      <name val="Calibri"/>
      <family val="2"/>
      <scheme val="minor"/>
    </font>
    <font>
      <b/>
      <sz val="11"/>
      <color theme="1"/>
      <name val="Calibri"/>
      <family val="2"/>
      <scheme val="minor"/>
    </font>
    <font>
      <b/>
      <sz val="12"/>
      <color theme="1"/>
      <name val="Calibri"/>
      <family val="2"/>
      <scheme val="minor"/>
    </font>
    <font>
      <vertAlign val="subscript"/>
      <sz val="11"/>
      <color theme="1"/>
      <name val="Calibri"/>
      <family val="2"/>
      <scheme val="minor"/>
    </font>
    <font>
      <b/>
      <vertAlign val="subscript"/>
      <sz val="11"/>
      <color theme="1"/>
      <name val="Calibri"/>
      <family val="2"/>
      <scheme val="minor"/>
    </font>
    <font>
      <b/>
      <sz val="11"/>
      <color rgb="FF000000"/>
      <name val="Calibri"/>
      <family val="2"/>
    </font>
    <font>
      <b/>
      <sz val="11"/>
      <color theme="0"/>
      <name val="Calibri"/>
      <family val="2"/>
      <scheme val="minor"/>
    </font>
    <font>
      <sz val="8"/>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355DA5"/>
        <bgColor indexed="64"/>
      </patternFill>
    </fill>
  </fills>
  <borders count="23">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thick">
        <color rgb="FF002060"/>
      </left>
      <right/>
      <top/>
      <bottom/>
      <diagonal/>
    </border>
    <border>
      <left/>
      <right style="thick">
        <color rgb="FF002060"/>
      </right>
      <top/>
      <bottom/>
      <diagonal/>
    </border>
    <border>
      <left style="thick">
        <color rgb="FF002060"/>
      </left>
      <right style="thick">
        <color rgb="FF002060"/>
      </right>
      <top style="thick">
        <color rgb="FF002060"/>
      </top>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thick">
        <color rgb="FF002060"/>
      </left>
      <right style="thick">
        <color rgb="FF002060"/>
      </right>
      <top/>
      <bottom/>
      <diagonal/>
    </border>
  </borders>
  <cellStyleXfs count="1">
    <xf numFmtId="0" fontId="0" fillId="0" borderId="0"/>
  </cellStyleXfs>
  <cellXfs count="132">
    <xf numFmtId="0" fontId="0" fillId="0" borderId="0" xfId="0"/>
    <xf numFmtId="2" fontId="0" fillId="0" borderId="0" xfId="0" applyNumberFormat="1"/>
    <xf numFmtId="2" fontId="0" fillId="0" borderId="0" xfId="0" applyNumberFormat="1" applyAlignment="1">
      <alignment horizontal="center"/>
    </xf>
    <xf numFmtId="0" fontId="0" fillId="0" borderId="0" xfId="0" applyAlignment="1">
      <alignment horizontal="center"/>
    </xf>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applyAlignment="1">
      <alignment horizontal="center"/>
    </xf>
    <xf numFmtId="0" fontId="0" fillId="0" borderId="0" xfId="0"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wrapText="1"/>
    </xf>
    <xf numFmtId="0" fontId="2" fillId="0" borderId="0" xfId="0" applyFont="1"/>
    <xf numFmtId="2" fontId="0" fillId="0" borderId="1" xfId="0" applyNumberFormat="1" applyBorder="1" applyAlignment="1">
      <alignment horizontal="center" vertical="center"/>
    </xf>
    <xf numFmtId="2" fontId="0" fillId="0" borderId="2" xfId="0" applyNumberForma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2" fontId="0" fillId="0" borderId="4" xfId="0" applyNumberFormat="1" applyBorder="1" applyAlignment="1">
      <alignment horizontal="center" vertical="center"/>
    </xf>
    <xf numFmtId="0" fontId="0" fillId="0" borderId="5" xfId="0" applyBorder="1" applyAlignment="1">
      <alignment horizontal="center"/>
    </xf>
    <xf numFmtId="0" fontId="0" fillId="0" borderId="6" xfId="0" applyBorder="1" applyAlignment="1">
      <alignment horizontal="center" vertical="center"/>
    </xf>
    <xf numFmtId="0" fontId="1" fillId="0" borderId="3" xfId="0" applyFont="1" applyBorder="1" applyAlignment="1">
      <alignment horizontal="center" vertical="center"/>
    </xf>
    <xf numFmtId="0" fontId="0" fillId="0" borderId="7" xfId="0" applyBorder="1" applyAlignment="1">
      <alignment horizontal="center" vertical="center"/>
    </xf>
    <xf numFmtId="0" fontId="1" fillId="0" borderId="8" xfId="0" applyFont="1" applyBorder="1" applyAlignment="1">
      <alignment horizontal="center" vertical="center"/>
    </xf>
    <xf numFmtId="0" fontId="0" fillId="0" borderId="1" xfId="0" applyBorder="1" applyAlignment="1">
      <alignment horizontal="center"/>
    </xf>
    <xf numFmtId="0" fontId="1" fillId="0" borderId="6" xfId="0" applyFont="1" applyBorder="1" applyAlignment="1">
      <alignment horizontal="center"/>
    </xf>
    <xf numFmtId="0" fontId="0" fillId="0" borderId="9" xfId="0" applyBorder="1" applyAlignment="1">
      <alignment horizontal="center"/>
    </xf>
    <xf numFmtId="0" fontId="1" fillId="0" borderId="7"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1" fillId="0" borderId="10" xfId="0" applyFont="1" applyBorder="1" applyAlignment="1">
      <alignment horizontal="center" vertical="center"/>
    </xf>
    <xf numFmtId="0" fontId="1" fillId="0" borderId="14" xfId="0" applyFont="1" applyBorder="1" applyAlignment="1">
      <alignment horizontal="center" vertical="center"/>
    </xf>
    <xf numFmtId="0" fontId="1" fillId="0" borderId="12" xfId="0" applyFont="1" applyBorder="1" applyAlignment="1">
      <alignment horizontal="center" vertical="center"/>
    </xf>
    <xf numFmtId="2" fontId="0" fillId="0" borderId="1" xfId="0" applyNumberFormat="1" applyBorder="1" applyAlignment="1">
      <alignment horizontal="center"/>
    </xf>
    <xf numFmtId="2" fontId="0" fillId="0" borderId="4" xfId="0" applyNumberFormat="1" applyBorder="1" applyAlignment="1">
      <alignment horizontal="center"/>
    </xf>
    <xf numFmtId="2" fontId="0" fillId="0" borderId="9" xfId="0" applyNumberFormat="1" applyBorder="1" applyAlignment="1">
      <alignment horizontal="center"/>
    </xf>
    <xf numFmtId="2" fontId="0" fillId="0" borderId="15" xfId="0" applyNumberFormat="1" applyBorder="1" applyAlignment="1">
      <alignment horizontal="center"/>
    </xf>
    <xf numFmtId="0" fontId="0" fillId="0" borderId="15" xfId="0" applyBorder="1" applyAlignment="1">
      <alignment horizontal="center"/>
    </xf>
    <xf numFmtId="0" fontId="0" fillId="0" borderId="8" xfId="0" applyBorder="1" applyAlignment="1">
      <alignment horizontal="center"/>
    </xf>
    <xf numFmtId="0" fontId="0" fillId="0" borderId="5" xfId="0"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0" fillId="0" borderId="8" xfId="0" applyBorder="1" applyAlignment="1">
      <alignment horizontal="center" vertical="center"/>
    </xf>
    <xf numFmtId="2" fontId="0" fillId="0" borderId="9" xfId="0" applyNumberFormat="1" applyBorder="1" applyAlignment="1">
      <alignment horizontal="center" vertical="center"/>
    </xf>
    <xf numFmtId="0" fontId="0" fillId="0" borderId="3" xfId="0" applyBorder="1" applyAlignment="1">
      <alignment horizontal="center" vertical="center"/>
    </xf>
    <xf numFmtId="164" fontId="0" fillId="0" borderId="5" xfId="0" applyNumberFormat="1" applyBorder="1" applyAlignment="1">
      <alignment horizontal="center" vertical="center"/>
    </xf>
    <xf numFmtId="165" fontId="0" fillId="0" borderId="6" xfId="0" applyNumberFormat="1" applyBorder="1" applyAlignment="1">
      <alignment horizontal="center" vertical="center"/>
    </xf>
    <xf numFmtId="0" fontId="1" fillId="0" borderId="8" xfId="0" applyFont="1" applyBorder="1" applyAlignment="1">
      <alignment horizontal="center"/>
    </xf>
    <xf numFmtId="0" fontId="1" fillId="0" borderId="15" xfId="0" applyFont="1" applyBorder="1" applyAlignment="1">
      <alignment horizontal="center"/>
    </xf>
    <xf numFmtId="0" fontId="1" fillId="0" borderId="9" xfId="0" applyFont="1" applyBorder="1" applyAlignment="1">
      <alignment horizontal="center"/>
    </xf>
    <xf numFmtId="165" fontId="0" fillId="0" borderId="7" xfId="0" applyNumberFormat="1" applyBorder="1" applyAlignment="1">
      <alignment horizontal="center" vertical="center"/>
    </xf>
    <xf numFmtId="2" fontId="0" fillId="0" borderId="2" xfId="0" applyNumberFormat="1" applyBorder="1"/>
    <xf numFmtId="0" fontId="0" fillId="0" borderId="0" xfId="0" applyAlignment="1">
      <alignment horizontal="center" vertical="center" wrapText="1"/>
    </xf>
    <xf numFmtId="0" fontId="1" fillId="2" borderId="11" xfId="0" applyFont="1" applyFill="1" applyBorder="1" applyAlignment="1">
      <alignment horizontal="center" vertical="center"/>
    </xf>
    <xf numFmtId="0" fontId="1" fillId="2" borderId="10" xfId="0" applyFont="1" applyFill="1" applyBorder="1" applyAlignment="1">
      <alignment horizontal="center" vertical="center"/>
    </xf>
    <xf numFmtId="0" fontId="0" fillId="2" borderId="0" xfId="0" applyFill="1" applyAlignment="1">
      <alignment horizontal="center" vertical="center"/>
    </xf>
    <xf numFmtId="0" fontId="0" fillId="2" borderId="2" xfId="0" applyFill="1" applyBorder="1" applyAlignment="1">
      <alignment horizontal="center" vertical="center"/>
    </xf>
    <xf numFmtId="0" fontId="1" fillId="3" borderId="11" xfId="0" applyFont="1" applyFill="1" applyBorder="1" applyAlignment="1">
      <alignment horizontal="center"/>
    </xf>
    <xf numFmtId="2" fontId="0" fillId="3" borderId="0" xfId="0" applyNumberFormat="1" applyFill="1" applyAlignment="1">
      <alignment horizontal="center"/>
    </xf>
    <xf numFmtId="2" fontId="0" fillId="3" borderId="2" xfId="0" applyNumberFormat="1" applyFill="1" applyBorder="1" applyAlignment="1">
      <alignment horizontal="center"/>
    </xf>
    <xf numFmtId="0" fontId="1" fillId="3" borderId="11" xfId="0" applyFont="1" applyFill="1" applyBorder="1" applyAlignment="1">
      <alignment horizontal="center" vertical="center"/>
    </xf>
    <xf numFmtId="0" fontId="0" fillId="3" borderId="0" xfId="0" applyFill="1" applyAlignment="1">
      <alignment horizontal="center" vertical="center"/>
    </xf>
    <xf numFmtId="0" fontId="0" fillId="3" borderId="2" xfId="0" applyFill="1" applyBorder="1" applyAlignment="1">
      <alignment horizontal="center" vertical="center"/>
    </xf>
    <xf numFmtId="0" fontId="0" fillId="2" borderId="4" xfId="0" applyFill="1" applyBorder="1" applyAlignment="1">
      <alignment horizontal="center"/>
    </xf>
    <xf numFmtId="0" fontId="0" fillId="2" borderId="1" xfId="0" applyFill="1" applyBorder="1" applyAlignment="1">
      <alignment horizontal="center"/>
    </xf>
    <xf numFmtId="165" fontId="0" fillId="3" borderId="0" xfId="0" applyNumberFormat="1" applyFill="1" applyAlignment="1">
      <alignment horizontal="center"/>
    </xf>
    <xf numFmtId="165" fontId="0" fillId="3" borderId="2" xfId="0" applyNumberFormat="1" applyFill="1" applyBorder="1" applyAlignment="1">
      <alignment horizontal="center"/>
    </xf>
    <xf numFmtId="2" fontId="0" fillId="2" borderId="0" xfId="0" applyNumberFormat="1" applyFill="1" applyAlignment="1">
      <alignment horizontal="center" vertical="center"/>
    </xf>
    <xf numFmtId="2" fontId="0" fillId="2" borderId="2" xfId="0" applyNumberFormat="1" applyFill="1" applyBorder="1" applyAlignment="1">
      <alignment horizontal="center" vertical="center"/>
    </xf>
    <xf numFmtId="2" fontId="0" fillId="2" borderId="0" xfId="0" applyNumberFormat="1" applyFill="1" applyAlignment="1">
      <alignment horizontal="center"/>
    </xf>
    <xf numFmtId="2" fontId="0" fillId="2" borderId="2" xfId="0" applyNumberFormat="1" applyFill="1" applyBorder="1" applyAlignment="1">
      <alignment horizontal="center"/>
    </xf>
    <xf numFmtId="165" fontId="0" fillId="2" borderId="4" xfId="0" applyNumberFormat="1" applyFill="1" applyBorder="1" applyAlignment="1">
      <alignment horizontal="center"/>
    </xf>
    <xf numFmtId="165" fontId="0" fillId="2" borderId="1" xfId="0" applyNumberFormat="1" applyFill="1" applyBorder="1" applyAlignment="1">
      <alignment horizontal="center"/>
    </xf>
    <xf numFmtId="165" fontId="0" fillId="0" borderId="0" xfId="0" applyNumberFormat="1" applyAlignment="1">
      <alignment horizontal="center" vertical="center"/>
    </xf>
    <xf numFmtId="165" fontId="0" fillId="0" borderId="0" xfId="0" applyNumberFormat="1" applyAlignment="1">
      <alignment horizontal="center"/>
    </xf>
    <xf numFmtId="0" fontId="0" fillId="4" borderId="0" xfId="0" applyFill="1" applyAlignment="1">
      <alignment horizontal="center" vertical="center"/>
    </xf>
    <xf numFmtId="0" fontId="0" fillId="3" borderId="16" xfId="0" applyFill="1" applyBorder="1" applyAlignment="1">
      <alignment horizontal="center" vertical="center"/>
    </xf>
    <xf numFmtId="0" fontId="0" fillId="0" borderId="17" xfId="0" applyBorder="1" applyAlignment="1">
      <alignment horizontal="center" vertical="center"/>
    </xf>
    <xf numFmtId="0" fontId="6" fillId="0" borderId="0" xfId="0" applyFont="1"/>
    <xf numFmtId="0" fontId="0" fillId="0" borderId="16" xfId="0" applyBorder="1" applyAlignment="1">
      <alignment horizontal="center" vertical="center"/>
    </xf>
    <xf numFmtId="165" fontId="0" fillId="0" borderId="17" xfId="0" applyNumberFormat="1" applyBorder="1" applyAlignment="1">
      <alignment horizontal="center" vertical="center"/>
    </xf>
    <xf numFmtId="0" fontId="0" fillId="2" borderId="16" xfId="0" applyFill="1" applyBorder="1" applyAlignment="1">
      <alignment horizontal="center" vertical="center"/>
    </xf>
    <xf numFmtId="0" fontId="0" fillId="4" borderId="16" xfId="0"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0" fillId="5" borderId="0" xfId="0" applyFill="1" applyAlignment="1">
      <alignment horizontal="center" vertical="center"/>
    </xf>
    <xf numFmtId="0" fontId="6" fillId="5" borderId="21" xfId="0" applyFont="1" applyFill="1" applyBorder="1" applyAlignment="1">
      <alignment horizontal="center" vertical="center"/>
    </xf>
    <xf numFmtId="0" fontId="6" fillId="5" borderId="20" xfId="0" applyFont="1" applyFill="1" applyBorder="1"/>
    <xf numFmtId="0" fontId="6" fillId="5" borderId="21" xfId="0" applyFont="1" applyFill="1" applyBorder="1"/>
    <xf numFmtId="0" fontId="6" fillId="5" borderId="19" xfId="0" applyFont="1" applyFill="1" applyBorder="1"/>
    <xf numFmtId="0" fontId="0" fillId="3" borderId="16" xfId="0"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165" fontId="0" fillId="0" borderId="17" xfId="0" applyNumberFormat="1" applyBorder="1" applyAlignment="1">
      <alignment horizontal="center" vertical="center" wrapText="1"/>
    </xf>
    <xf numFmtId="0" fontId="0" fillId="0" borderId="0" xfId="0" applyAlignment="1">
      <alignment wrapText="1"/>
    </xf>
    <xf numFmtId="0" fontId="6" fillId="0" borderId="0" xfId="0" applyFont="1" applyAlignment="1">
      <alignment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6" fillId="0" borderId="22" xfId="0" applyFont="1" applyBorder="1" applyAlignment="1">
      <alignment horizontal="center" vertical="center"/>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wrapText="1"/>
    </xf>
    <xf numFmtId="0" fontId="0" fillId="0" borderId="17" xfId="0" quotePrefix="1" applyBorder="1" applyAlignment="1">
      <alignment horizontal="center" vertical="center"/>
    </xf>
    <xf numFmtId="2" fontId="0" fillId="0" borderId="0" xfId="0" applyNumberFormat="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0" fillId="0" borderId="4" xfId="0" applyBorder="1" applyAlignment="1">
      <alignment horizontal="center"/>
    </xf>
    <xf numFmtId="164" fontId="0" fillId="0" borderId="0" xfId="0" applyNumberFormat="1" applyAlignment="1">
      <alignment horizontal="center"/>
    </xf>
    <xf numFmtId="164" fontId="0" fillId="0" borderId="2" xfId="0" applyNumberFormat="1" applyBorder="1" applyAlignment="1">
      <alignment horizontal="center"/>
    </xf>
    <xf numFmtId="14" fontId="0" fillId="0" borderId="0" xfId="0" applyNumberFormat="1"/>
    <xf numFmtId="0" fontId="1" fillId="0" borderId="11" xfId="0" applyFont="1" applyBorder="1" applyAlignment="1">
      <alignment horizontal="center" vertical="center"/>
    </xf>
    <xf numFmtId="2" fontId="0" fillId="0" borderId="2" xfId="0" applyNumberFormat="1" applyBorder="1" applyAlignment="1">
      <alignment horizontal="center" vertical="center"/>
    </xf>
    <xf numFmtId="0" fontId="2" fillId="0" borderId="0" xfId="0" applyFont="1" applyAlignment="1">
      <alignment horizontal="left"/>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21" xfId="0" applyFont="1" applyFill="1" applyBorder="1" applyAlignment="1">
      <alignment horizontal="center" vertical="center"/>
    </xf>
    <xf numFmtId="0" fontId="6" fillId="5" borderId="19" xfId="0" applyFont="1" applyFill="1" applyBorder="1" applyAlignment="1">
      <alignment horizontal="center"/>
    </xf>
    <xf numFmtId="0" fontId="6" fillId="5" borderId="20" xfId="0" applyFont="1" applyFill="1" applyBorder="1" applyAlignment="1">
      <alignment horizontal="center"/>
    </xf>
    <xf numFmtId="0" fontId="6" fillId="5" borderId="21" xfId="0" applyFont="1" applyFill="1" applyBorder="1" applyAlignment="1">
      <alignment horizontal="center"/>
    </xf>
    <xf numFmtId="0" fontId="6" fillId="5" borderId="18" xfId="0" applyFont="1" applyFill="1" applyBorder="1" applyAlignment="1">
      <alignment horizontal="center" vertical="center"/>
    </xf>
    <xf numFmtId="0" fontId="6" fillId="5" borderId="22" xfId="0" applyFont="1" applyFill="1" applyBorder="1" applyAlignment="1">
      <alignment horizontal="center" vertical="center"/>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xf>
    <xf numFmtId="0" fontId="0" fillId="0" borderId="13" xfId="0" applyBorder="1" applyAlignment="1">
      <alignment horizontal="center" vertical="center"/>
    </xf>
    <xf numFmtId="0" fontId="0" fillId="0" borderId="6" xfId="0" applyBorder="1" applyAlignment="1">
      <alignment horizontal="center" vertical="center"/>
    </xf>
  </cellXfs>
  <cellStyles count="1">
    <cellStyle name="Normal" xfId="0" builtinId="0"/>
  </cellStyles>
  <dxfs count="33">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dxf>
    <dxf>
      <fill>
        <patternFill patternType="solid">
          <fgColor indexed="64"/>
          <bgColor rgb="FF002060"/>
        </patternFill>
      </fill>
    </dxf>
  </dxfs>
  <tableStyles count="0" defaultTableStyle="TableStyleMedium2" defaultPivotStyle="PivotStyleLight16"/>
  <colors>
    <mruColors>
      <color rgb="FFCC00CC"/>
      <color rgb="FF355D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2" Type="http://schemas.microsoft.com/office/2011/relationships/chartColorStyle" Target="colors104.xml"/><Relationship Id="rId1" Type="http://schemas.microsoft.com/office/2011/relationships/chartStyle" Target="style104.xml"/></Relationships>
</file>

<file path=xl/charts/_rels/chart105.xml.rels><?xml version="1.0" encoding="UTF-8" standalone="yes"?>
<Relationships xmlns="http://schemas.openxmlformats.org/package/2006/relationships"><Relationship Id="rId2" Type="http://schemas.microsoft.com/office/2011/relationships/chartColorStyle" Target="colors105.xml"/><Relationship Id="rId1" Type="http://schemas.microsoft.com/office/2011/relationships/chartStyle" Target="style105.xml"/></Relationships>
</file>

<file path=xl/charts/_rels/chart106.xml.rels><?xml version="1.0" encoding="UTF-8" standalone="yes"?>
<Relationships xmlns="http://schemas.openxmlformats.org/package/2006/relationships"><Relationship Id="rId2" Type="http://schemas.microsoft.com/office/2011/relationships/chartColorStyle" Target="colors106.xml"/><Relationship Id="rId1" Type="http://schemas.microsoft.com/office/2011/relationships/chartStyle" Target="style106.xml"/></Relationships>
</file>

<file path=xl/charts/_rels/chart107.xml.rels><?xml version="1.0" encoding="UTF-8" standalone="yes"?>
<Relationships xmlns="http://schemas.openxmlformats.org/package/2006/relationships"><Relationship Id="rId2" Type="http://schemas.microsoft.com/office/2011/relationships/chartColorStyle" Target="colors107.xml"/><Relationship Id="rId1" Type="http://schemas.microsoft.com/office/2011/relationships/chartStyle" Target="style107.xml"/></Relationships>
</file>

<file path=xl/charts/_rels/chart108.xml.rels><?xml version="1.0" encoding="UTF-8" standalone="yes"?>
<Relationships xmlns="http://schemas.openxmlformats.org/package/2006/relationships"><Relationship Id="rId2" Type="http://schemas.microsoft.com/office/2011/relationships/chartColorStyle" Target="colors108.xml"/><Relationship Id="rId1" Type="http://schemas.microsoft.com/office/2011/relationships/chartStyle" Target="style108.xml"/></Relationships>
</file>

<file path=xl/charts/_rels/chart109.xml.rels><?xml version="1.0" encoding="UTF-8" standalone="yes"?>
<Relationships xmlns="http://schemas.openxmlformats.org/package/2006/relationships"><Relationship Id="rId2" Type="http://schemas.microsoft.com/office/2011/relationships/chartColorStyle" Target="colors109.xml"/><Relationship Id="rId1" Type="http://schemas.microsoft.com/office/2011/relationships/chartStyle" Target="style109.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10.xml.rels><?xml version="1.0" encoding="UTF-8" standalone="yes"?>
<Relationships xmlns="http://schemas.openxmlformats.org/package/2006/relationships"><Relationship Id="rId2" Type="http://schemas.microsoft.com/office/2011/relationships/chartColorStyle" Target="colors110.xml"/><Relationship Id="rId1" Type="http://schemas.microsoft.com/office/2011/relationships/chartStyle" Target="style110.xml"/></Relationships>
</file>

<file path=xl/charts/_rels/chart111.xml.rels><?xml version="1.0" encoding="UTF-8" standalone="yes"?>
<Relationships xmlns="http://schemas.openxmlformats.org/package/2006/relationships"><Relationship Id="rId2" Type="http://schemas.microsoft.com/office/2011/relationships/chartColorStyle" Target="colors111.xml"/><Relationship Id="rId1" Type="http://schemas.microsoft.com/office/2011/relationships/chartStyle" Target="style111.xml"/></Relationships>
</file>

<file path=xl/charts/_rels/chart112.xml.rels><?xml version="1.0" encoding="UTF-8" standalone="yes"?>
<Relationships xmlns="http://schemas.openxmlformats.org/package/2006/relationships"><Relationship Id="rId2" Type="http://schemas.microsoft.com/office/2011/relationships/chartColorStyle" Target="colors112.xml"/><Relationship Id="rId1" Type="http://schemas.microsoft.com/office/2011/relationships/chartStyle" Target="style112.xml"/></Relationships>
</file>

<file path=xl/charts/_rels/chart113.xml.rels><?xml version="1.0" encoding="UTF-8" standalone="yes"?>
<Relationships xmlns="http://schemas.openxmlformats.org/package/2006/relationships"><Relationship Id="rId2" Type="http://schemas.microsoft.com/office/2011/relationships/chartColorStyle" Target="colors113.xml"/><Relationship Id="rId1" Type="http://schemas.microsoft.com/office/2011/relationships/chartStyle" Target="style113.xml"/></Relationships>
</file>

<file path=xl/charts/_rels/chart114.xml.rels><?xml version="1.0" encoding="UTF-8" standalone="yes"?>
<Relationships xmlns="http://schemas.openxmlformats.org/package/2006/relationships"><Relationship Id="rId2" Type="http://schemas.microsoft.com/office/2011/relationships/chartColorStyle" Target="colors114.xml"/><Relationship Id="rId1" Type="http://schemas.microsoft.com/office/2011/relationships/chartStyle" Target="style114.xml"/></Relationships>
</file>

<file path=xl/charts/_rels/chart115.xml.rels><?xml version="1.0" encoding="UTF-8" standalone="yes"?>
<Relationships xmlns="http://schemas.openxmlformats.org/package/2006/relationships"><Relationship Id="rId2" Type="http://schemas.microsoft.com/office/2011/relationships/chartColorStyle" Target="colors115.xml"/><Relationship Id="rId1" Type="http://schemas.microsoft.com/office/2011/relationships/chartStyle" Target="style115.xml"/></Relationships>
</file>

<file path=xl/charts/_rels/chart116.xml.rels><?xml version="1.0" encoding="UTF-8" standalone="yes"?>
<Relationships xmlns="http://schemas.openxmlformats.org/package/2006/relationships"><Relationship Id="rId2" Type="http://schemas.microsoft.com/office/2011/relationships/chartColorStyle" Target="colors116.xml"/><Relationship Id="rId1" Type="http://schemas.microsoft.com/office/2011/relationships/chartStyle" Target="style116.xml"/></Relationships>
</file>

<file path=xl/charts/_rels/chart117.xml.rels><?xml version="1.0" encoding="UTF-8" standalone="yes"?>
<Relationships xmlns="http://schemas.openxmlformats.org/package/2006/relationships"><Relationship Id="rId2" Type="http://schemas.microsoft.com/office/2011/relationships/chartColorStyle" Target="colors117.xml"/><Relationship Id="rId1" Type="http://schemas.microsoft.com/office/2011/relationships/chartStyle" Target="style117.xml"/></Relationships>
</file>

<file path=xl/charts/_rels/chart118.xml.rels><?xml version="1.0" encoding="UTF-8" standalone="yes"?>
<Relationships xmlns="http://schemas.openxmlformats.org/package/2006/relationships"><Relationship Id="rId2" Type="http://schemas.microsoft.com/office/2011/relationships/chartColorStyle" Target="colors118.xml"/><Relationship Id="rId1" Type="http://schemas.microsoft.com/office/2011/relationships/chartStyle" Target="style118.xml"/></Relationships>
</file>

<file path=xl/charts/_rels/chart119.xml.rels><?xml version="1.0" encoding="UTF-8" standalone="yes"?>
<Relationships xmlns="http://schemas.openxmlformats.org/package/2006/relationships"><Relationship Id="rId2" Type="http://schemas.microsoft.com/office/2011/relationships/chartColorStyle" Target="colors119.xml"/><Relationship Id="rId1" Type="http://schemas.microsoft.com/office/2011/relationships/chartStyle" Target="style119.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20.xml.rels><?xml version="1.0" encoding="UTF-8" standalone="yes"?>
<Relationships xmlns="http://schemas.openxmlformats.org/package/2006/relationships"><Relationship Id="rId2" Type="http://schemas.microsoft.com/office/2011/relationships/chartColorStyle" Target="colors120.xml"/><Relationship Id="rId1" Type="http://schemas.microsoft.com/office/2011/relationships/chartStyle" Target="style120.xml"/></Relationships>
</file>

<file path=xl/charts/_rels/chart121.xml.rels><?xml version="1.0" encoding="UTF-8" standalone="yes"?>
<Relationships xmlns="http://schemas.openxmlformats.org/package/2006/relationships"><Relationship Id="rId2" Type="http://schemas.microsoft.com/office/2011/relationships/chartColorStyle" Target="colors121.xml"/><Relationship Id="rId1" Type="http://schemas.microsoft.com/office/2011/relationships/chartStyle" Target="style121.xml"/></Relationships>
</file>

<file path=xl/charts/_rels/chart122.xml.rels><?xml version="1.0" encoding="UTF-8" standalone="yes"?>
<Relationships xmlns="http://schemas.openxmlformats.org/package/2006/relationships"><Relationship Id="rId2" Type="http://schemas.microsoft.com/office/2011/relationships/chartColorStyle" Target="colors122.xml"/><Relationship Id="rId1" Type="http://schemas.microsoft.com/office/2011/relationships/chartStyle" Target="style122.xml"/></Relationships>
</file>

<file path=xl/charts/_rels/chart123.xml.rels><?xml version="1.0" encoding="UTF-8" standalone="yes"?>
<Relationships xmlns="http://schemas.openxmlformats.org/package/2006/relationships"><Relationship Id="rId2" Type="http://schemas.microsoft.com/office/2011/relationships/chartColorStyle" Target="colors123.xml"/><Relationship Id="rId1" Type="http://schemas.microsoft.com/office/2011/relationships/chartStyle" Target="style123.xml"/></Relationships>
</file>

<file path=xl/charts/_rels/chart124.xml.rels><?xml version="1.0" encoding="UTF-8" standalone="yes"?>
<Relationships xmlns="http://schemas.openxmlformats.org/package/2006/relationships"><Relationship Id="rId2" Type="http://schemas.microsoft.com/office/2011/relationships/chartColorStyle" Target="colors124.xml"/><Relationship Id="rId1" Type="http://schemas.microsoft.com/office/2011/relationships/chartStyle" Target="style124.xml"/></Relationships>
</file>

<file path=xl/charts/_rels/chart125.xml.rels><?xml version="1.0" encoding="UTF-8" standalone="yes"?>
<Relationships xmlns="http://schemas.openxmlformats.org/package/2006/relationships"><Relationship Id="rId2" Type="http://schemas.microsoft.com/office/2011/relationships/chartColorStyle" Target="colors125.xml"/><Relationship Id="rId1" Type="http://schemas.microsoft.com/office/2011/relationships/chartStyle" Target="style125.xml"/></Relationships>
</file>

<file path=xl/charts/_rels/chart126.xml.rels><?xml version="1.0" encoding="UTF-8" standalone="yes"?>
<Relationships xmlns="http://schemas.openxmlformats.org/package/2006/relationships"><Relationship Id="rId2" Type="http://schemas.microsoft.com/office/2011/relationships/chartColorStyle" Target="colors126.xml"/><Relationship Id="rId1" Type="http://schemas.microsoft.com/office/2011/relationships/chartStyle" Target="style126.xml"/></Relationships>
</file>

<file path=xl/charts/_rels/chart127.xml.rels><?xml version="1.0" encoding="UTF-8" standalone="yes"?>
<Relationships xmlns="http://schemas.openxmlformats.org/package/2006/relationships"><Relationship Id="rId2" Type="http://schemas.microsoft.com/office/2011/relationships/chartColorStyle" Target="colors127.xml"/><Relationship Id="rId1" Type="http://schemas.microsoft.com/office/2011/relationships/chartStyle" Target="style127.xml"/></Relationships>
</file>

<file path=xl/charts/_rels/chart128.xml.rels><?xml version="1.0" encoding="UTF-8" standalone="yes"?>
<Relationships xmlns="http://schemas.openxmlformats.org/package/2006/relationships"><Relationship Id="rId2" Type="http://schemas.microsoft.com/office/2011/relationships/chartColorStyle" Target="colors128.xml"/><Relationship Id="rId1" Type="http://schemas.microsoft.com/office/2011/relationships/chartStyle" Target="style128.xml"/></Relationships>
</file>

<file path=xl/charts/_rels/chart129.xml.rels><?xml version="1.0" encoding="UTF-8" standalone="yes"?>
<Relationships xmlns="http://schemas.openxmlformats.org/package/2006/relationships"><Relationship Id="rId2" Type="http://schemas.microsoft.com/office/2011/relationships/chartColorStyle" Target="colors129.xml"/><Relationship Id="rId1" Type="http://schemas.microsoft.com/office/2011/relationships/chartStyle" Target="style129.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30.xml.rels><?xml version="1.0" encoding="UTF-8" standalone="yes"?>
<Relationships xmlns="http://schemas.openxmlformats.org/package/2006/relationships"><Relationship Id="rId2" Type="http://schemas.microsoft.com/office/2011/relationships/chartColorStyle" Target="colors130.xml"/><Relationship Id="rId1" Type="http://schemas.microsoft.com/office/2011/relationships/chartStyle" Target="style130.xml"/></Relationships>
</file>

<file path=xl/charts/_rels/chart131.xml.rels><?xml version="1.0" encoding="UTF-8" standalone="yes"?>
<Relationships xmlns="http://schemas.openxmlformats.org/package/2006/relationships"><Relationship Id="rId2" Type="http://schemas.microsoft.com/office/2011/relationships/chartColorStyle" Target="colors131.xml"/><Relationship Id="rId1" Type="http://schemas.microsoft.com/office/2011/relationships/chartStyle" Target="style131.xml"/></Relationships>
</file>

<file path=xl/charts/_rels/chart132.xml.rels><?xml version="1.0" encoding="UTF-8" standalone="yes"?>
<Relationships xmlns="http://schemas.openxmlformats.org/package/2006/relationships"><Relationship Id="rId2" Type="http://schemas.microsoft.com/office/2011/relationships/chartColorStyle" Target="colors132.xml"/><Relationship Id="rId1" Type="http://schemas.microsoft.com/office/2011/relationships/chartStyle" Target="style132.xml"/></Relationships>
</file>

<file path=xl/charts/_rels/chart133.xml.rels><?xml version="1.0" encoding="UTF-8" standalone="yes"?>
<Relationships xmlns="http://schemas.openxmlformats.org/package/2006/relationships"><Relationship Id="rId2" Type="http://schemas.microsoft.com/office/2011/relationships/chartColorStyle" Target="colors133.xml"/><Relationship Id="rId1" Type="http://schemas.microsoft.com/office/2011/relationships/chartStyle" Target="style133.xml"/></Relationships>
</file>

<file path=xl/charts/_rels/chart134.xml.rels><?xml version="1.0" encoding="UTF-8" standalone="yes"?>
<Relationships xmlns="http://schemas.openxmlformats.org/package/2006/relationships"><Relationship Id="rId2" Type="http://schemas.microsoft.com/office/2011/relationships/chartColorStyle" Target="colors134.xml"/><Relationship Id="rId1" Type="http://schemas.microsoft.com/office/2011/relationships/chartStyle" Target="style134.xml"/></Relationships>
</file>

<file path=xl/charts/_rels/chart135.xml.rels><?xml version="1.0" encoding="UTF-8" standalone="yes"?>
<Relationships xmlns="http://schemas.openxmlformats.org/package/2006/relationships"><Relationship Id="rId2" Type="http://schemas.microsoft.com/office/2011/relationships/chartColorStyle" Target="colors135.xml"/><Relationship Id="rId1" Type="http://schemas.microsoft.com/office/2011/relationships/chartStyle" Target="style135.xml"/></Relationships>
</file>

<file path=xl/charts/_rels/chart136.xml.rels><?xml version="1.0" encoding="UTF-8" standalone="yes"?>
<Relationships xmlns="http://schemas.openxmlformats.org/package/2006/relationships"><Relationship Id="rId2" Type="http://schemas.microsoft.com/office/2011/relationships/chartColorStyle" Target="colors136.xml"/><Relationship Id="rId1" Type="http://schemas.microsoft.com/office/2011/relationships/chartStyle" Target="style136.xml"/></Relationships>
</file>

<file path=xl/charts/_rels/chart137.xml.rels><?xml version="1.0" encoding="UTF-8" standalone="yes"?>
<Relationships xmlns="http://schemas.openxmlformats.org/package/2006/relationships"><Relationship Id="rId2" Type="http://schemas.microsoft.com/office/2011/relationships/chartColorStyle" Target="colors137.xml"/><Relationship Id="rId1" Type="http://schemas.microsoft.com/office/2011/relationships/chartStyle" Target="style137.xml"/></Relationships>
</file>

<file path=xl/charts/_rels/chart138.xml.rels><?xml version="1.0" encoding="UTF-8" standalone="yes"?>
<Relationships xmlns="http://schemas.openxmlformats.org/package/2006/relationships"><Relationship Id="rId2" Type="http://schemas.microsoft.com/office/2011/relationships/chartColorStyle" Target="colors138.xml"/><Relationship Id="rId1" Type="http://schemas.microsoft.com/office/2011/relationships/chartStyle" Target="style138.xml"/></Relationships>
</file>

<file path=xl/charts/_rels/chart139.xml.rels><?xml version="1.0" encoding="UTF-8" standalone="yes"?>
<Relationships xmlns="http://schemas.openxmlformats.org/package/2006/relationships"><Relationship Id="rId2" Type="http://schemas.microsoft.com/office/2011/relationships/chartColorStyle" Target="colors139.xml"/><Relationship Id="rId1" Type="http://schemas.microsoft.com/office/2011/relationships/chartStyle" Target="style139.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40.xml.rels><?xml version="1.0" encoding="UTF-8" standalone="yes"?>
<Relationships xmlns="http://schemas.openxmlformats.org/package/2006/relationships"><Relationship Id="rId2" Type="http://schemas.microsoft.com/office/2011/relationships/chartColorStyle" Target="colors140.xml"/><Relationship Id="rId1" Type="http://schemas.microsoft.com/office/2011/relationships/chartStyle" Target="style140.xml"/></Relationships>
</file>

<file path=xl/charts/_rels/chart141.xml.rels><?xml version="1.0" encoding="UTF-8" standalone="yes"?>
<Relationships xmlns="http://schemas.openxmlformats.org/package/2006/relationships"><Relationship Id="rId2" Type="http://schemas.microsoft.com/office/2011/relationships/chartColorStyle" Target="colors141.xml"/><Relationship Id="rId1" Type="http://schemas.microsoft.com/office/2011/relationships/chartStyle" Target="style141.xml"/></Relationships>
</file>

<file path=xl/charts/_rels/chart142.xml.rels><?xml version="1.0" encoding="UTF-8" standalone="yes"?>
<Relationships xmlns="http://schemas.openxmlformats.org/package/2006/relationships"><Relationship Id="rId2" Type="http://schemas.microsoft.com/office/2011/relationships/chartColorStyle" Target="colors142.xml"/><Relationship Id="rId1" Type="http://schemas.microsoft.com/office/2011/relationships/chartStyle" Target="style142.xml"/></Relationships>
</file>

<file path=xl/charts/_rels/chart143.xml.rels><?xml version="1.0" encoding="UTF-8" standalone="yes"?>
<Relationships xmlns="http://schemas.openxmlformats.org/package/2006/relationships"><Relationship Id="rId2" Type="http://schemas.microsoft.com/office/2011/relationships/chartColorStyle" Target="colors143.xml"/><Relationship Id="rId1" Type="http://schemas.microsoft.com/office/2011/relationships/chartStyle" Target="style143.xml"/></Relationships>
</file>

<file path=xl/charts/_rels/chart144.xml.rels><?xml version="1.0" encoding="UTF-8" standalone="yes"?>
<Relationships xmlns="http://schemas.openxmlformats.org/package/2006/relationships"><Relationship Id="rId2" Type="http://schemas.microsoft.com/office/2011/relationships/chartColorStyle" Target="colors144.xml"/><Relationship Id="rId1" Type="http://schemas.microsoft.com/office/2011/relationships/chartStyle" Target="style144.xml"/></Relationships>
</file>

<file path=xl/charts/_rels/chart145.xml.rels><?xml version="1.0" encoding="UTF-8" standalone="yes"?>
<Relationships xmlns="http://schemas.openxmlformats.org/package/2006/relationships"><Relationship Id="rId2" Type="http://schemas.microsoft.com/office/2011/relationships/chartColorStyle" Target="colors145.xml"/><Relationship Id="rId1" Type="http://schemas.microsoft.com/office/2011/relationships/chartStyle" Target="style145.xml"/></Relationships>
</file>

<file path=xl/charts/_rels/chart146.xml.rels><?xml version="1.0" encoding="UTF-8" standalone="yes"?>
<Relationships xmlns="http://schemas.openxmlformats.org/package/2006/relationships"><Relationship Id="rId2" Type="http://schemas.microsoft.com/office/2011/relationships/chartColorStyle" Target="colors146.xml"/><Relationship Id="rId1" Type="http://schemas.microsoft.com/office/2011/relationships/chartStyle" Target="style146.xml"/></Relationships>
</file>

<file path=xl/charts/_rels/chart147.xml.rels><?xml version="1.0" encoding="UTF-8" standalone="yes"?>
<Relationships xmlns="http://schemas.openxmlformats.org/package/2006/relationships"><Relationship Id="rId2" Type="http://schemas.microsoft.com/office/2011/relationships/chartColorStyle" Target="colors147.xml"/><Relationship Id="rId1" Type="http://schemas.microsoft.com/office/2011/relationships/chartStyle" Target="style147.xml"/></Relationships>
</file>

<file path=xl/charts/_rels/chart148.xml.rels><?xml version="1.0" encoding="UTF-8" standalone="yes"?>
<Relationships xmlns="http://schemas.openxmlformats.org/package/2006/relationships"><Relationship Id="rId2" Type="http://schemas.microsoft.com/office/2011/relationships/chartColorStyle" Target="colors148.xml"/><Relationship Id="rId1" Type="http://schemas.microsoft.com/office/2011/relationships/chartStyle" Target="style148.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51.xml.rels><?xml version="1.0" encoding="UTF-8" standalone="yes"?>
<Relationships xmlns="http://schemas.openxmlformats.org/package/2006/relationships"><Relationship Id="rId2" Type="http://schemas.microsoft.com/office/2011/relationships/chartColorStyle" Target="colors149.xml"/><Relationship Id="rId1" Type="http://schemas.microsoft.com/office/2011/relationships/chartStyle" Target="style149.xml"/></Relationships>
</file>

<file path=xl/charts/_rels/chart152.xml.rels><?xml version="1.0" encoding="UTF-8" standalone="yes"?>
<Relationships xmlns="http://schemas.openxmlformats.org/package/2006/relationships"><Relationship Id="rId2" Type="http://schemas.microsoft.com/office/2011/relationships/chartColorStyle" Target="colors150.xml"/><Relationship Id="rId1" Type="http://schemas.microsoft.com/office/2011/relationships/chartStyle" Target="style150.xml"/></Relationships>
</file>

<file path=xl/charts/_rels/chart153.xml.rels><?xml version="1.0" encoding="UTF-8" standalone="yes"?>
<Relationships xmlns="http://schemas.openxmlformats.org/package/2006/relationships"><Relationship Id="rId2" Type="http://schemas.microsoft.com/office/2011/relationships/chartColorStyle" Target="colors151.xml"/><Relationship Id="rId1" Type="http://schemas.microsoft.com/office/2011/relationships/chartStyle" Target="style151.xml"/></Relationships>
</file>

<file path=xl/charts/_rels/chart154.xml.rels><?xml version="1.0" encoding="UTF-8" standalone="yes"?>
<Relationships xmlns="http://schemas.openxmlformats.org/package/2006/relationships"><Relationship Id="rId2" Type="http://schemas.microsoft.com/office/2011/relationships/chartColorStyle" Target="colors152.xml"/><Relationship Id="rId1" Type="http://schemas.microsoft.com/office/2011/relationships/chartStyle" Target="style152.xml"/></Relationships>
</file>

<file path=xl/charts/_rels/chart155.xml.rels><?xml version="1.0" encoding="UTF-8" standalone="yes"?>
<Relationships xmlns="http://schemas.openxmlformats.org/package/2006/relationships"><Relationship Id="rId2" Type="http://schemas.microsoft.com/office/2011/relationships/chartColorStyle" Target="colors153.xml"/><Relationship Id="rId1" Type="http://schemas.microsoft.com/office/2011/relationships/chartStyle" Target="style153.xml"/></Relationships>
</file>

<file path=xl/charts/_rels/chart156.xml.rels><?xml version="1.0" encoding="UTF-8" standalone="yes"?>
<Relationships xmlns="http://schemas.openxmlformats.org/package/2006/relationships"><Relationship Id="rId2" Type="http://schemas.microsoft.com/office/2011/relationships/chartColorStyle" Target="colors154.xml"/><Relationship Id="rId1" Type="http://schemas.microsoft.com/office/2011/relationships/chartStyle" Target="style154.xml"/></Relationships>
</file>

<file path=xl/charts/_rels/chart157.xml.rels><?xml version="1.0" encoding="UTF-8" standalone="yes"?>
<Relationships xmlns="http://schemas.openxmlformats.org/package/2006/relationships"><Relationship Id="rId2" Type="http://schemas.microsoft.com/office/2011/relationships/chartColorStyle" Target="colors155.xml"/><Relationship Id="rId1" Type="http://schemas.microsoft.com/office/2011/relationships/chartStyle" Target="style155.xml"/></Relationships>
</file>

<file path=xl/charts/_rels/chart158.xml.rels><?xml version="1.0" encoding="UTF-8" standalone="yes"?>
<Relationships xmlns="http://schemas.openxmlformats.org/package/2006/relationships"><Relationship Id="rId2" Type="http://schemas.microsoft.com/office/2011/relationships/chartColorStyle" Target="colors156.xml"/><Relationship Id="rId1" Type="http://schemas.microsoft.com/office/2011/relationships/chartStyle" Target="style156.xml"/></Relationships>
</file>

<file path=xl/charts/_rels/chart159.xml.rels><?xml version="1.0" encoding="UTF-8" standalone="yes"?>
<Relationships xmlns="http://schemas.openxmlformats.org/package/2006/relationships"><Relationship Id="rId2" Type="http://schemas.microsoft.com/office/2011/relationships/chartColorStyle" Target="colors157.xml"/><Relationship Id="rId1" Type="http://schemas.microsoft.com/office/2011/relationships/chartStyle" Target="style157.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60.xml.rels><?xml version="1.0" encoding="UTF-8" standalone="yes"?>
<Relationships xmlns="http://schemas.openxmlformats.org/package/2006/relationships"><Relationship Id="rId2" Type="http://schemas.microsoft.com/office/2011/relationships/chartColorStyle" Target="colors158.xml"/><Relationship Id="rId1" Type="http://schemas.microsoft.com/office/2011/relationships/chartStyle" Target="style158.xml"/></Relationships>
</file>

<file path=xl/charts/_rels/chart161.xml.rels><?xml version="1.0" encoding="UTF-8" standalone="yes"?>
<Relationships xmlns="http://schemas.openxmlformats.org/package/2006/relationships"><Relationship Id="rId2" Type="http://schemas.microsoft.com/office/2011/relationships/chartColorStyle" Target="colors159.xml"/><Relationship Id="rId1" Type="http://schemas.microsoft.com/office/2011/relationships/chartStyle" Target="style159.xml"/></Relationships>
</file>

<file path=xl/charts/_rels/chart162.xml.rels><?xml version="1.0" encoding="UTF-8" standalone="yes"?>
<Relationships xmlns="http://schemas.openxmlformats.org/package/2006/relationships"><Relationship Id="rId2" Type="http://schemas.microsoft.com/office/2011/relationships/chartColorStyle" Target="colors160.xml"/><Relationship Id="rId1" Type="http://schemas.microsoft.com/office/2011/relationships/chartStyle" Target="style160.xml"/></Relationships>
</file>

<file path=xl/charts/_rels/chart163.xml.rels><?xml version="1.0" encoding="UTF-8" standalone="yes"?>
<Relationships xmlns="http://schemas.openxmlformats.org/package/2006/relationships"><Relationship Id="rId2" Type="http://schemas.microsoft.com/office/2011/relationships/chartColorStyle" Target="colors161.xml"/><Relationship Id="rId1" Type="http://schemas.microsoft.com/office/2011/relationships/chartStyle" Target="style161.xml"/></Relationships>
</file>

<file path=xl/charts/_rels/chart164.xml.rels><?xml version="1.0" encoding="UTF-8" standalone="yes"?>
<Relationships xmlns="http://schemas.openxmlformats.org/package/2006/relationships"><Relationship Id="rId2" Type="http://schemas.microsoft.com/office/2011/relationships/chartColorStyle" Target="colors162.xml"/><Relationship Id="rId1" Type="http://schemas.microsoft.com/office/2011/relationships/chartStyle" Target="style162.xml"/></Relationships>
</file>

<file path=xl/charts/_rels/chart166.xml.rels><?xml version="1.0" encoding="UTF-8" standalone="yes"?>
<Relationships xmlns="http://schemas.openxmlformats.org/package/2006/relationships"><Relationship Id="rId2" Type="http://schemas.microsoft.com/office/2011/relationships/chartColorStyle" Target="colors163.xml"/><Relationship Id="rId1" Type="http://schemas.microsoft.com/office/2011/relationships/chartStyle" Target="style163.xml"/></Relationships>
</file>

<file path=xl/charts/_rels/chart167.xml.rels><?xml version="1.0" encoding="UTF-8" standalone="yes"?>
<Relationships xmlns="http://schemas.openxmlformats.org/package/2006/relationships"><Relationship Id="rId2" Type="http://schemas.microsoft.com/office/2011/relationships/chartColorStyle" Target="colors164.xml"/><Relationship Id="rId1" Type="http://schemas.microsoft.com/office/2011/relationships/chartStyle" Target="style164.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Recta</a:t>
            </a:r>
            <a:r>
              <a:rPr lang="es-ES" baseline="0"/>
              <a:t> Calibrado SMX</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'Recta calibrado'!$C$7:$C$20</c:f>
              <c:numCache>
                <c:formatCode>0.00</c:formatCode>
                <c:ptCount val="14"/>
                <c:pt idx="0">
                  <c:v>0.5</c:v>
                </c:pt>
                <c:pt idx="1">
                  <c:v>1</c:v>
                </c:pt>
                <c:pt idx="2">
                  <c:v>2</c:v>
                </c:pt>
                <c:pt idx="3">
                  <c:v>4</c:v>
                </c:pt>
                <c:pt idx="4">
                  <c:v>5</c:v>
                </c:pt>
                <c:pt idx="5">
                  <c:v>7</c:v>
                </c:pt>
                <c:pt idx="6">
                  <c:v>10</c:v>
                </c:pt>
                <c:pt idx="7">
                  <c:v>12</c:v>
                </c:pt>
                <c:pt idx="8">
                  <c:v>15</c:v>
                </c:pt>
                <c:pt idx="9">
                  <c:v>18</c:v>
                </c:pt>
                <c:pt idx="10">
                  <c:v>21</c:v>
                </c:pt>
                <c:pt idx="11">
                  <c:v>25</c:v>
                </c:pt>
                <c:pt idx="12">
                  <c:v>27</c:v>
                </c:pt>
                <c:pt idx="13">
                  <c:v>30</c:v>
                </c:pt>
              </c:numCache>
            </c:numRef>
          </c:xVal>
          <c:yVal>
            <c:numRef>
              <c:f>'Recta calibrado'!$B$7:$B$20</c:f>
              <c:numCache>
                <c:formatCode>0.0</c:formatCode>
                <c:ptCount val="14"/>
                <c:pt idx="0" formatCode="General">
                  <c:v>115.3</c:v>
                </c:pt>
                <c:pt idx="1">
                  <c:v>232</c:v>
                </c:pt>
                <c:pt idx="2" formatCode="General">
                  <c:v>460.9</c:v>
                </c:pt>
                <c:pt idx="3" formatCode="General">
                  <c:v>922.2</c:v>
                </c:pt>
                <c:pt idx="4" formatCode="General">
                  <c:v>1146.8</c:v>
                </c:pt>
                <c:pt idx="5" formatCode="General">
                  <c:v>1597.6</c:v>
                </c:pt>
                <c:pt idx="6" formatCode="General">
                  <c:v>2247.8000000000002</c:v>
                </c:pt>
                <c:pt idx="7" formatCode="General">
                  <c:v>2544.1999999999998</c:v>
                </c:pt>
                <c:pt idx="8" formatCode="General">
                  <c:v>3185.9</c:v>
                </c:pt>
                <c:pt idx="9" formatCode="General">
                  <c:v>3786.4</c:v>
                </c:pt>
                <c:pt idx="10" formatCode="General">
                  <c:v>4398.5</c:v>
                </c:pt>
                <c:pt idx="11" formatCode="General">
                  <c:v>5050.3999999999996</c:v>
                </c:pt>
                <c:pt idx="12" formatCode="General">
                  <c:v>5682.3</c:v>
                </c:pt>
                <c:pt idx="13" formatCode="General">
                  <c:v>6270.7</c:v>
                </c:pt>
              </c:numCache>
            </c:numRef>
          </c:yVal>
          <c:smooth val="0"/>
          <c:extLst>
            <c:ext xmlns:c16="http://schemas.microsoft.com/office/drawing/2014/chart" uri="{C3380CC4-5D6E-409C-BE32-E72D297353CC}">
              <c16:uniqueId val="{00000000-FD7D-4E2D-B0DC-D4DE81E5B1DB}"/>
            </c:ext>
          </c:extLst>
        </c:ser>
        <c:dLbls>
          <c:showLegendKey val="0"/>
          <c:showVal val="0"/>
          <c:showCatName val="0"/>
          <c:showSerName val="0"/>
          <c:showPercent val="0"/>
          <c:showBubbleSize val="0"/>
        </c:dLbls>
        <c:axId val="377659327"/>
        <c:axId val="2098100943"/>
      </c:scatterChart>
      <c:valAx>
        <c:axId val="37765932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 (mg/L)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98100943"/>
        <c:crosses val="autoZero"/>
        <c:crossBetween val="midCat"/>
      </c:valAx>
      <c:valAx>
        <c:axId val="209810094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Área</a:t>
                </a:r>
              </a:p>
            </c:rich>
          </c:tx>
          <c:layout>
            <c:manualLayout>
              <c:xMode val="edge"/>
              <c:yMode val="edge"/>
              <c:x val="1.9444444444444445E-2"/>
              <c:y val="0.4251195683872849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37765932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Control</a:t>
            </a:r>
            <a:r>
              <a:rPr lang="es-ES" baseline="0"/>
              <a:t> OA 100 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I!$F$14:$F$20</c:f>
              <c:numCache>
                <c:formatCode>0.00</c:formatCode>
                <c:ptCount val="7"/>
                <c:pt idx="0">
                  <c:v>9.6425807039111238</c:v>
                </c:pt>
                <c:pt idx="1">
                  <c:v>8.7242180030050545</c:v>
                </c:pt>
                <c:pt idx="2">
                  <c:v>7.1802577061421484</c:v>
                </c:pt>
                <c:pt idx="3">
                  <c:v>5.4282201884988392</c:v>
                </c:pt>
                <c:pt idx="4">
                  <c:v>3.9580203068797521</c:v>
                </c:pt>
                <c:pt idx="5">
                  <c:v>2.9745481036288304</c:v>
                </c:pt>
                <c:pt idx="6">
                  <c:v>1.4547193006419887</c:v>
                </c:pt>
              </c:numCache>
            </c:numRef>
          </c:yVal>
          <c:smooth val="0"/>
          <c:extLst>
            <c:ext xmlns:c16="http://schemas.microsoft.com/office/drawing/2014/chart" uri="{C3380CC4-5D6E-409C-BE32-E72D297353CC}">
              <c16:uniqueId val="{00000000-F09C-4214-B1A9-96D180AC69C1}"/>
            </c:ext>
          </c:extLst>
        </c:ser>
        <c:dLbls>
          <c:showLegendKey val="0"/>
          <c:showVal val="0"/>
          <c:showCatName val="0"/>
          <c:showSerName val="0"/>
          <c:showPercent val="0"/>
          <c:showBubbleSize val="0"/>
        </c:dLbls>
        <c:axId val="239697808"/>
        <c:axId val="239698768"/>
      </c:scatterChart>
      <c:valAx>
        <c:axId val="2396978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98768"/>
        <c:crosses val="autoZero"/>
        <c:crossBetween val="midCat"/>
      </c:valAx>
      <c:valAx>
        <c:axId val="239698768"/>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layout>
            <c:manualLayout>
              <c:xMode val="edge"/>
              <c:yMode val="edge"/>
              <c:x val="1.6666666666666666E-2"/>
              <c:y val="0.2652930883639544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978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AD!$B$15:$B$26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AD!$F$15:$F$26</c:f>
              <c:numCache>
                <c:formatCode>0.00</c:formatCode>
                <c:ptCount val="12"/>
                <c:pt idx="0">
                  <c:v>49.624469151118959</c:v>
                </c:pt>
                <c:pt idx="1">
                  <c:v>42.692179224125589</c:v>
                </c:pt>
                <c:pt idx="2">
                  <c:v>38.191057880421816</c:v>
                </c:pt>
                <c:pt idx="3">
                  <c:v>29.885002624421436</c:v>
                </c:pt>
                <c:pt idx="4">
                  <c:v>14.322183518633393</c:v>
                </c:pt>
                <c:pt idx="5">
                  <c:v>6.5329007014362741</c:v>
                </c:pt>
                <c:pt idx="6">
                  <c:v>3.1354678627666175</c:v>
                </c:pt>
                <c:pt idx="7">
                  <c:v>1.4186190771579903</c:v>
                </c:pt>
                <c:pt idx="8">
                  <c:v>0.54158515054635681</c:v>
                </c:pt>
                <c:pt idx="9">
                  <c:v>0.10974853270983442</c:v>
                </c:pt>
                <c:pt idx="10">
                  <c:v>8.1595648232094295E-2</c:v>
                </c:pt>
                <c:pt idx="11">
                  <c:v>6.3463281958295564E-2</c:v>
                </c:pt>
              </c:numCache>
            </c:numRef>
          </c:yVal>
          <c:smooth val="0"/>
          <c:extLst>
            <c:ext xmlns:c16="http://schemas.microsoft.com/office/drawing/2014/chart" uri="{C3380CC4-5D6E-409C-BE32-E72D297353CC}">
              <c16:uniqueId val="{00000001-F30C-4A4B-A41C-399FA5C13735}"/>
            </c:ext>
          </c:extLst>
        </c:ser>
        <c:dLbls>
          <c:showLegendKey val="0"/>
          <c:showVal val="0"/>
          <c:showCatName val="0"/>
          <c:showSerName val="0"/>
          <c:showPercent val="0"/>
          <c:showBubbleSize val="0"/>
        </c:dLbls>
        <c:axId val="1204696464"/>
        <c:axId val="1204697424"/>
      </c:scatterChart>
      <c:valAx>
        <c:axId val="120469646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5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AD!$B$15:$B$26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AD!$G$15:$G$26</c:f>
              <c:numCache>
                <c:formatCode>0.00</c:formatCode>
                <c:ptCount val="12"/>
                <c:pt idx="0">
                  <c:v>0</c:v>
                </c:pt>
                <c:pt idx="1">
                  <c:v>13.969499413450265</c:v>
                </c:pt>
                <c:pt idx="2">
                  <c:v>23.03986615127214</c:v>
                </c:pt>
                <c:pt idx="3">
                  <c:v>39.777688032462159</c:v>
                </c:pt>
                <c:pt idx="4">
                  <c:v>71.138868055154902</c:v>
                </c:pt>
                <c:pt idx="5">
                  <c:v>86.835323756226074</c:v>
                </c:pt>
                <c:pt idx="6">
                  <c:v>93.681609261716574</c:v>
                </c:pt>
                <c:pt idx="7">
                  <c:v>97.141291178676511</c:v>
                </c:pt>
                <c:pt idx="8">
                  <c:v>98.908632858324211</c:v>
                </c:pt>
                <c:pt idx="9">
                  <c:v>99.778841900805787</c:v>
                </c:pt>
                <c:pt idx="10">
                  <c:v>99.835573761033856</c:v>
                </c:pt>
                <c:pt idx="11">
                  <c:v>99.872112925248558</c:v>
                </c:pt>
              </c:numCache>
            </c:numRef>
          </c:yVal>
          <c:smooth val="0"/>
          <c:extLst>
            <c:ext xmlns:c16="http://schemas.microsoft.com/office/drawing/2014/chart" uri="{C3380CC4-5D6E-409C-BE32-E72D297353CC}">
              <c16:uniqueId val="{00000001-A7EE-44AA-9B7A-C0B4CAE946FE}"/>
            </c:ext>
          </c:extLst>
        </c:ser>
        <c:dLbls>
          <c:showLegendKey val="0"/>
          <c:showVal val="0"/>
          <c:showCatName val="0"/>
          <c:showSerName val="0"/>
          <c:showPercent val="0"/>
          <c:showBubbleSize val="0"/>
        </c:dLbls>
        <c:axId val="1204745904"/>
        <c:axId val="1204746384"/>
      </c:scatterChart>
      <c:valAx>
        <c:axId val="120474590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2C70-4A6C-A07A-3E5ED68A08F7}"/>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2C70-4A6C-A07A-3E5ED68A08F7}"/>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2C70-4A6C-A07A-3E5ED68A08F7}"/>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2C70-4A6C-A07A-3E5ED68A08F7}"/>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E217-461D-8A05-1375E0D8BCF9}"/>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E217-461D-8A05-1375E0D8BCF9}"/>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E217-461D-8A05-1375E0D8BCF9}"/>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E217-461D-8A05-1375E0D8BCF9}"/>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FFDB-4E6D-BC08-0DC4113152E4}"/>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FFDB-4E6D-BC08-0DC4113152E4}"/>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AE!$B$15:$B$26</c:f>
              <c:numCache>
                <c:formatCode>General</c:formatCode>
                <c:ptCount val="12"/>
                <c:pt idx="0">
                  <c:v>0</c:v>
                </c:pt>
                <c:pt idx="1">
                  <c:v>5</c:v>
                </c:pt>
                <c:pt idx="2">
                  <c:v>22</c:v>
                </c:pt>
                <c:pt idx="3">
                  <c:v>32</c:v>
                </c:pt>
                <c:pt idx="4">
                  <c:v>60</c:v>
                </c:pt>
                <c:pt idx="5">
                  <c:v>100</c:v>
                </c:pt>
                <c:pt idx="6">
                  <c:v>120</c:v>
                </c:pt>
                <c:pt idx="7">
                  <c:v>150</c:v>
                </c:pt>
                <c:pt idx="8">
                  <c:v>180</c:v>
                </c:pt>
                <c:pt idx="9">
                  <c:v>240</c:v>
                </c:pt>
                <c:pt idx="10">
                  <c:v>300</c:v>
                </c:pt>
                <c:pt idx="11">
                  <c:v>360</c:v>
                </c:pt>
              </c:numCache>
            </c:numRef>
          </c:xVal>
          <c:yVal>
            <c:numRef>
              <c:f>AE!$F$15:$F$26</c:f>
              <c:numCache>
                <c:formatCode>0.00</c:formatCode>
                <c:ptCount val="12"/>
                <c:pt idx="0">
                  <c:v>48.62289449825834</c:v>
                </c:pt>
                <c:pt idx="1">
                  <c:v>43.691368039318604</c:v>
                </c:pt>
                <c:pt idx="2">
                  <c:v>35.172018895834327</c:v>
                </c:pt>
                <c:pt idx="3">
                  <c:v>32.642076633105887</c:v>
                </c:pt>
                <c:pt idx="4">
                  <c:v>22.74800782554755</c:v>
                </c:pt>
                <c:pt idx="5">
                  <c:v>13.875554707257718</c:v>
                </c:pt>
                <c:pt idx="6">
                  <c:v>10.243832609629242</c:v>
                </c:pt>
                <c:pt idx="7">
                  <c:v>7.0048193920885629</c:v>
                </c:pt>
                <c:pt idx="8">
                  <c:v>4.0926659350097827</c:v>
                </c:pt>
                <c:pt idx="9">
                  <c:v>1.7039652622035599</c:v>
                </c:pt>
                <c:pt idx="10">
                  <c:v>0.67376055733167917</c:v>
                </c:pt>
                <c:pt idx="11">
                  <c:v>0.24478694469628287</c:v>
                </c:pt>
              </c:numCache>
            </c:numRef>
          </c:yVal>
          <c:smooth val="0"/>
          <c:extLst>
            <c:ext xmlns:c16="http://schemas.microsoft.com/office/drawing/2014/chart" uri="{C3380CC4-5D6E-409C-BE32-E72D297353CC}">
              <c16:uniqueId val="{00000000-30B2-408A-94D8-2C44547B0134}"/>
            </c:ext>
          </c:extLst>
        </c:ser>
        <c:dLbls>
          <c:showLegendKey val="0"/>
          <c:showVal val="0"/>
          <c:showCatName val="0"/>
          <c:showSerName val="0"/>
          <c:showPercent val="0"/>
          <c:showBubbleSize val="0"/>
        </c:dLbls>
        <c:axId val="1204696464"/>
        <c:axId val="1204697424"/>
      </c:scatterChart>
      <c:valAx>
        <c:axId val="120469646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5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AE!$B$15:$B$26</c:f>
              <c:numCache>
                <c:formatCode>General</c:formatCode>
                <c:ptCount val="12"/>
                <c:pt idx="0">
                  <c:v>0</c:v>
                </c:pt>
                <c:pt idx="1">
                  <c:v>5</c:v>
                </c:pt>
                <c:pt idx="2">
                  <c:v>22</c:v>
                </c:pt>
                <c:pt idx="3">
                  <c:v>32</c:v>
                </c:pt>
                <c:pt idx="4">
                  <c:v>60</c:v>
                </c:pt>
                <c:pt idx="5">
                  <c:v>100</c:v>
                </c:pt>
                <c:pt idx="6">
                  <c:v>120</c:v>
                </c:pt>
                <c:pt idx="7">
                  <c:v>150</c:v>
                </c:pt>
                <c:pt idx="8">
                  <c:v>180</c:v>
                </c:pt>
                <c:pt idx="9">
                  <c:v>240</c:v>
                </c:pt>
                <c:pt idx="10">
                  <c:v>300</c:v>
                </c:pt>
                <c:pt idx="11">
                  <c:v>360</c:v>
                </c:pt>
              </c:numCache>
            </c:numRef>
          </c:xVal>
          <c:yVal>
            <c:numRef>
              <c:f>AE!$G$15:$G$26</c:f>
              <c:numCache>
                <c:formatCode>0.00</c:formatCode>
                <c:ptCount val="12"/>
                <c:pt idx="0">
                  <c:v>0</c:v>
                </c:pt>
                <c:pt idx="1">
                  <c:v>10.14239590182436</c:v>
                </c:pt>
                <c:pt idx="2">
                  <c:v>27.663666964347051</c:v>
                </c:pt>
                <c:pt idx="3">
                  <c:v>32.866858359748377</c:v>
                </c:pt>
                <c:pt idx="4">
                  <c:v>53.215438816867689</c:v>
                </c:pt>
                <c:pt idx="5">
                  <c:v>71.462919165055595</c:v>
                </c:pt>
                <c:pt idx="6">
                  <c:v>78.932079804512298</c:v>
                </c:pt>
                <c:pt idx="7">
                  <c:v>85.593577954641347</c:v>
                </c:pt>
                <c:pt idx="8">
                  <c:v>91.582841833580304</c:v>
                </c:pt>
                <c:pt idx="9">
                  <c:v>96.495549514715549</c:v>
                </c:pt>
                <c:pt idx="10">
                  <c:v>98.614314173838792</c:v>
                </c:pt>
                <c:pt idx="11">
                  <c:v>99.496560319532094</c:v>
                </c:pt>
              </c:numCache>
            </c:numRef>
          </c:yVal>
          <c:smooth val="0"/>
          <c:extLst>
            <c:ext xmlns:c16="http://schemas.microsoft.com/office/drawing/2014/chart" uri="{C3380CC4-5D6E-409C-BE32-E72D297353CC}">
              <c16:uniqueId val="{00000000-7183-4756-BBFB-889FFEF382FF}"/>
            </c:ext>
          </c:extLst>
        </c:ser>
        <c:dLbls>
          <c:showLegendKey val="0"/>
          <c:showVal val="0"/>
          <c:showCatName val="0"/>
          <c:showSerName val="0"/>
          <c:showPercent val="0"/>
          <c:showBubbleSize val="0"/>
        </c:dLbls>
        <c:axId val="1204745904"/>
        <c:axId val="1204746384"/>
      </c:scatterChart>
      <c:valAx>
        <c:axId val="120474590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D29E-4ECE-A892-2D080F967DF1}"/>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D29E-4ECE-A892-2D080F967DF1}"/>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D29E-4ECE-A892-2D080F967DF1}"/>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D29E-4ECE-A892-2D080F967DF1}"/>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F2C9-463B-A465-EB7E85C71E26}"/>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F2C9-463B-A465-EB7E85C71E26}"/>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F2C9-463B-A465-EB7E85C71E26}"/>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F2C9-463B-A465-EB7E85C71E26}"/>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F159-4576-813B-EC08203BD4C2}"/>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F159-4576-813B-EC08203BD4C2}"/>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Control</a:t>
            </a:r>
            <a:r>
              <a:rPr lang="es-ES" baseline="0"/>
              <a:t> OA 100mA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I!$G$14:$G$20</c:f>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0-6819-420D-B173-B28EB8EDBB5A}"/>
            </c:ext>
          </c:extLst>
        </c:ser>
        <c:dLbls>
          <c:showLegendKey val="0"/>
          <c:showVal val="0"/>
          <c:showCatName val="0"/>
          <c:showSerName val="0"/>
          <c:showPercent val="0"/>
          <c:showBubbleSize val="0"/>
        </c:dLbls>
        <c:axId val="239677648"/>
        <c:axId val="239674768"/>
      </c:scatterChart>
      <c:valAx>
        <c:axId val="2396776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74768"/>
        <c:crosses val="autoZero"/>
        <c:crossBetween val="midCat"/>
      </c:valAx>
      <c:valAx>
        <c:axId val="23967476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776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AF!$F$15:$F$26</c:f>
              <c:numCache>
                <c:formatCode>0.00</c:formatCode>
                <c:ptCount val="12"/>
                <c:pt idx="0">
                  <c:v>48.665839576275232</c:v>
                </c:pt>
                <c:pt idx="1">
                  <c:v>44.034451495920216</c:v>
                </c:pt>
                <c:pt idx="2">
                  <c:v>38.931621892446437</c:v>
                </c:pt>
                <c:pt idx="3">
                  <c:v>28.739323376437465</c:v>
                </c:pt>
                <c:pt idx="4">
                  <c:v>14.303096817292552</c:v>
                </c:pt>
                <c:pt idx="5">
                  <c:v>7.7978718328004968</c:v>
                </c:pt>
                <c:pt idx="6">
                  <c:v>4.5049386839719432</c:v>
                </c:pt>
                <c:pt idx="7">
                  <c:v>3.1139953237581719</c:v>
                </c:pt>
                <c:pt idx="8">
                  <c:v>1.9143961444863291</c:v>
                </c:pt>
                <c:pt idx="9">
                  <c:v>0.71718280288209202</c:v>
                </c:pt>
                <c:pt idx="10">
                  <c:v>0.37696235148160523</c:v>
                </c:pt>
                <c:pt idx="11">
                  <c:v>0.21949706541966885</c:v>
                </c:pt>
              </c:numCache>
            </c:numRef>
          </c:yVal>
          <c:smooth val="0"/>
          <c:extLst>
            <c:ext xmlns:c16="http://schemas.microsoft.com/office/drawing/2014/chart" uri="{C3380CC4-5D6E-409C-BE32-E72D297353CC}">
              <c16:uniqueId val="{00000000-FA34-4B6C-A95E-957C1FB91EC8}"/>
            </c:ext>
          </c:extLst>
        </c:ser>
        <c:dLbls>
          <c:showLegendKey val="0"/>
          <c:showVal val="0"/>
          <c:showCatName val="0"/>
          <c:showSerName val="0"/>
          <c:showPercent val="0"/>
          <c:showBubbleSize val="0"/>
        </c:dLbls>
        <c:axId val="1204696464"/>
        <c:axId val="1204697424"/>
      </c:scatterChart>
      <c:valAx>
        <c:axId val="120469646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5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00-5384-428A-9A54-48E976E45530}"/>
            </c:ext>
          </c:extLst>
        </c:ser>
        <c:dLbls>
          <c:showLegendKey val="0"/>
          <c:showVal val="0"/>
          <c:showCatName val="0"/>
          <c:showSerName val="0"/>
          <c:showPercent val="0"/>
          <c:showBubbleSize val="0"/>
        </c:dLbls>
        <c:axId val="1204745904"/>
        <c:axId val="1204746384"/>
      </c:scatterChart>
      <c:valAx>
        <c:axId val="120474590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C023-4F1F-887F-7C66805EF676}"/>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C023-4F1F-887F-7C66805EF676}"/>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C023-4F1F-887F-7C66805EF676}"/>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C023-4F1F-887F-7C66805EF676}"/>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7CEE-49D4-822C-430D854CD2BC}"/>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7CEE-49D4-822C-430D854CD2BC}"/>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7CEE-49D4-822C-430D854CD2BC}"/>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7CEE-49D4-822C-430D854CD2BC}"/>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8076-4558-A97A-F621BCC98D13}"/>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8076-4558-A97A-F621BCC98D13}"/>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AG!$B$15:$B$26</c:f>
              <c:numCache>
                <c:formatCode>General</c:formatCode>
                <c:ptCount val="12"/>
                <c:pt idx="0">
                  <c:v>0</c:v>
                </c:pt>
                <c:pt idx="1">
                  <c:v>5</c:v>
                </c:pt>
                <c:pt idx="2">
                  <c:v>15</c:v>
                </c:pt>
                <c:pt idx="3">
                  <c:v>30</c:v>
                </c:pt>
                <c:pt idx="4">
                  <c:v>60</c:v>
                </c:pt>
                <c:pt idx="5">
                  <c:v>100</c:v>
                </c:pt>
                <c:pt idx="6">
                  <c:v>127</c:v>
                </c:pt>
                <c:pt idx="7">
                  <c:v>150</c:v>
                </c:pt>
                <c:pt idx="8">
                  <c:v>180</c:v>
                </c:pt>
                <c:pt idx="9">
                  <c:v>247</c:v>
                </c:pt>
                <c:pt idx="10">
                  <c:v>300</c:v>
                </c:pt>
                <c:pt idx="11">
                  <c:v>360</c:v>
                </c:pt>
              </c:numCache>
            </c:numRef>
          </c:xVal>
          <c:yVal>
            <c:numRef>
              <c:f>AG!$G$15:$G$26</c:f>
              <c:numCache>
                <c:formatCode>0.00</c:formatCode>
                <c:ptCount val="12"/>
                <c:pt idx="0">
                  <c:v>48.577563582573845</c:v>
                </c:pt>
                <c:pt idx="1">
                  <c:v>43.865534189053776</c:v>
                </c:pt>
                <c:pt idx="2">
                  <c:v>32.200696664598944</c:v>
                </c:pt>
                <c:pt idx="3">
                  <c:v>23.988643412702203</c:v>
                </c:pt>
                <c:pt idx="4">
                  <c:v>14.963973851219164</c:v>
                </c:pt>
                <c:pt idx="5">
                  <c:v>8.7340745335687355</c:v>
                </c:pt>
                <c:pt idx="6">
                  <c:v>6.5243116858328962</c:v>
                </c:pt>
                <c:pt idx="7">
                  <c:v>4.4018704967314024</c:v>
                </c:pt>
                <c:pt idx="8">
                  <c:v>3.1784129407835087</c:v>
                </c:pt>
                <c:pt idx="9">
                  <c:v>1.5527031540773968</c:v>
                </c:pt>
                <c:pt idx="10">
                  <c:v>0.77396573937109314</c:v>
                </c:pt>
                <c:pt idx="11">
                  <c:v>0.46142100491482557</c:v>
                </c:pt>
              </c:numCache>
            </c:numRef>
          </c:yVal>
          <c:smooth val="0"/>
          <c:extLst>
            <c:ext xmlns:c16="http://schemas.microsoft.com/office/drawing/2014/chart" uri="{C3380CC4-5D6E-409C-BE32-E72D297353CC}">
              <c16:uniqueId val="{00000000-1DC3-4DA2-849F-3B3F842951F0}"/>
            </c:ext>
          </c:extLst>
        </c:ser>
        <c:dLbls>
          <c:showLegendKey val="0"/>
          <c:showVal val="0"/>
          <c:showCatName val="0"/>
          <c:showSerName val="0"/>
          <c:showPercent val="0"/>
          <c:showBubbleSize val="0"/>
        </c:dLbls>
        <c:axId val="1204696464"/>
        <c:axId val="1204697424"/>
      </c:scatterChart>
      <c:valAx>
        <c:axId val="120469646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5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50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AG!$B$15:$B$26</c:f>
              <c:numCache>
                <c:formatCode>General</c:formatCode>
                <c:ptCount val="12"/>
                <c:pt idx="0">
                  <c:v>0</c:v>
                </c:pt>
                <c:pt idx="1">
                  <c:v>5</c:v>
                </c:pt>
                <c:pt idx="2">
                  <c:v>15</c:v>
                </c:pt>
                <c:pt idx="3">
                  <c:v>30</c:v>
                </c:pt>
                <c:pt idx="4">
                  <c:v>60</c:v>
                </c:pt>
                <c:pt idx="5">
                  <c:v>100</c:v>
                </c:pt>
                <c:pt idx="6">
                  <c:v>127</c:v>
                </c:pt>
                <c:pt idx="7">
                  <c:v>150</c:v>
                </c:pt>
                <c:pt idx="8">
                  <c:v>180</c:v>
                </c:pt>
                <c:pt idx="9">
                  <c:v>247</c:v>
                </c:pt>
                <c:pt idx="10">
                  <c:v>300</c:v>
                </c:pt>
                <c:pt idx="11">
                  <c:v>360</c:v>
                </c:pt>
              </c:numCache>
            </c:numRef>
          </c:xVal>
          <c:yVal>
            <c:numRef>
              <c:f>AG!$H$15:$H$26</c:f>
              <c:numCache>
                <c:formatCode>0.00</c:formatCode>
                <c:ptCount val="12"/>
                <c:pt idx="0">
                  <c:v>0</c:v>
                </c:pt>
                <c:pt idx="1">
                  <c:v>9.7000117873561038</c:v>
                </c:pt>
                <c:pt idx="2">
                  <c:v>33.712820714313779</c:v>
                </c:pt>
                <c:pt idx="3">
                  <c:v>50.617853915366787</c:v>
                </c:pt>
                <c:pt idx="4">
                  <c:v>69.195709402381041</c:v>
                </c:pt>
                <c:pt idx="5">
                  <c:v>82.020352834859139</c:v>
                </c:pt>
                <c:pt idx="6">
                  <c:v>86.569290008251144</c:v>
                </c:pt>
                <c:pt idx="7">
                  <c:v>90.938470001178729</c:v>
                </c:pt>
                <c:pt idx="8">
                  <c:v>93.457035087029979</c:v>
                </c:pt>
                <c:pt idx="9">
                  <c:v>96.803661938627158</c:v>
                </c:pt>
                <c:pt idx="10">
                  <c:v>98.406742367686931</c:v>
                </c:pt>
                <c:pt idx="11">
                  <c:v>99.050135554595116</c:v>
                </c:pt>
              </c:numCache>
            </c:numRef>
          </c:yVal>
          <c:smooth val="0"/>
          <c:extLst>
            <c:ext xmlns:c16="http://schemas.microsoft.com/office/drawing/2014/chart" uri="{C3380CC4-5D6E-409C-BE32-E72D297353CC}">
              <c16:uniqueId val="{00000000-09AE-4594-AF81-142E67886D10}"/>
            </c:ext>
          </c:extLst>
        </c:ser>
        <c:dLbls>
          <c:showLegendKey val="0"/>
          <c:showVal val="0"/>
          <c:showCatName val="0"/>
          <c:showSerName val="0"/>
          <c:showPercent val="0"/>
          <c:showBubbleSize val="0"/>
        </c:dLbls>
        <c:axId val="1204745904"/>
        <c:axId val="1204746384"/>
      </c:scatterChart>
      <c:valAx>
        <c:axId val="120474590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5024-4B18-AD92-EB8CDE3E4AAB}"/>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5024-4B18-AD92-EB8CDE3E4AAB}"/>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5024-4B18-AD92-EB8CDE3E4AAB}"/>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5024-4B18-AD92-EB8CDE3E4AAB}"/>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CE4A-474A-ACE3-7024C93B9787}"/>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CE4A-474A-ACE3-7024C93B9787}"/>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CE4A-474A-ACE3-7024C93B9787}"/>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CE4A-474A-ACE3-7024C93B9787}"/>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CE14-4537-8C89-06B7AEE8086F}"/>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CE14-4537-8C89-06B7AEE8086F}"/>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I!$B$14:$B$20</c:f>
              <c:numCache>
                <c:formatCode>General</c:formatCode>
                <c:ptCount val="7"/>
                <c:pt idx="0">
                  <c:v>0</c:v>
                </c:pt>
                <c:pt idx="1">
                  <c:v>5</c:v>
                </c:pt>
                <c:pt idx="2">
                  <c:v>15</c:v>
                </c:pt>
                <c:pt idx="3">
                  <c:v>30</c:v>
                </c:pt>
                <c:pt idx="4">
                  <c:v>45</c:v>
                </c:pt>
                <c:pt idx="5">
                  <c:v>60</c:v>
                </c:pt>
                <c:pt idx="6">
                  <c:v>90</c:v>
                </c:pt>
              </c:numCache>
            </c:numRef>
          </c:xVal>
          <c:yVal>
            <c:numRef>
              <c:f>I!$L$14:$L$20</c:f>
              <c:numCache>
                <c:formatCode>General</c:formatCode>
                <c:ptCount val="7"/>
                <c:pt idx="0">
                  <c:v>0</c:v>
                </c:pt>
                <c:pt idx="1">
                  <c:v>0.10008594376070093</c:v>
                </c:pt>
                <c:pt idx="2">
                  <c:v>0.29485350603331578</c:v>
                </c:pt>
                <c:pt idx="3">
                  <c:v>0.57457747421052796</c:v>
                </c:pt>
                <c:pt idx="4">
                  <c:v>0.89044480291133543</c:v>
                </c:pt>
                <c:pt idx="5">
                  <c:v>1.1760966511496493</c:v>
                </c:pt>
                <c:pt idx="6">
                  <c:v>1.8913758191787646</c:v>
                </c:pt>
              </c:numCache>
            </c:numRef>
          </c:yVal>
          <c:smooth val="0"/>
          <c:extLst>
            <c:ext xmlns:c16="http://schemas.microsoft.com/office/drawing/2014/chart" uri="{C3380CC4-5D6E-409C-BE32-E72D297353CC}">
              <c16:uniqueId val="{00000001-CD0E-42B7-8ED6-73921BD5BCBB}"/>
            </c:ext>
          </c:extLst>
        </c:ser>
        <c:dLbls>
          <c:showLegendKey val="0"/>
          <c:showVal val="0"/>
          <c:showCatName val="0"/>
          <c:showSerName val="0"/>
          <c:showPercent val="0"/>
          <c:showBubbleSize val="0"/>
        </c:dLbls>
        <c:axId val="1748736479"/>
        <c:axId val="1748733119"/>
      </c:scatterChart>
      <c:valAx>
        <c:axId val="174873647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48733119"/>
        <c:crosses val="autoZero"/>
        <c:crossBetween val="midCat"/>
      </c:valAx>
      <c:valAx>
        <c:axId val="17487331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4873647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EF + H2O2</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AH!$B$15:$B$19</c:f>
              <c:numCache>
                <c:formatCode>General</c:formatCode>
                <c:ptCount val="5"/>
                <c:pt idx="0">
                  <c:v>0</c:v>
                </c:pt>
                <c:pt idx="1">
                  <c:v>10</c:v>
                </c:pt>
                <c:pt idx="2">
                  <c:v>30</c:v>
                </c:pt>
                <c:pt idx="3">
                  <c:v>60</c:v>
                </c:pt>
                <c:pt idx="4">
                  <c:v>90</c:v>
                </c:pt>
              </c:numCache>
            </c:numRef>
          </c:xVal>
          <c:yVal>
            <c:numRef>
              <c:f>AH!$F$15:$F$19</c:f>
              <c:numCache>
                <c:formatCode>0.00</c:formatCode>
                <c:ptCount val="5"/>
                <c:pt idx="0">
                  <c:v>49.326239442668317</c:v>
                </c:pt>
                <c:pt idx="1">
                  <c:v>39.505654435272227</c:v>
                </c:pt>
                <c:pt idx="2">
                  <c:v>30.614114615641554</c:v>
                </c:pt>
                <c:pt idx="3">
                  <c:v>21.380922842009831</c:v>
                </c:pt>
                <c:pt idx="4">
                  <c:v>7.4314071670563537</c:v>
                </c:pt>
              </c:numCache>
            </c:numRef>
          </c:yVal>
          <c:smooth val="0"/>
          <c:extLst>
            <c:ext xmlns:c16="http://schemas.microsoft.com/office/drawing/2014/chart" uri="{C3380CC4-5D6E-409C-BE32-E72D297353CC}">
              <c16:uniqueId val="{00000000-1634-40D3-AD43-96B4CBEC18FF}"/>
            </c:ext>
          </c:extLst>
        </c:ser>
        <c:dLbls>
          <c:showLegendKey val="0"/>
          <c:showVal val="0"/>
          <c:showCatName val="0"/>
          <c:showSerName val="0"/>
          <c:showPercent val="0"/>
          <c:showBubbleSize val="0"/>
        </c:dLbls>
        <c:axId val="1204696464"/>
        <c:axId val="1204697424"/>
      </c:scatterChart>
      <c:valAx>
        <c:axId val="120469646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5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EF + H2O2</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EF + H2O2</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AH!$B$15:$B$19</c:f>
              <c:numCache>
                <c:formatCode>General</c:formatCode>
                <c:ptCount val="5"/>
                <c:pt idx="0">
                  <c:v>0</c:v>
                </c:pt>
                <c:pt idx="1">
                  <c:v>10</c:v>
                </c:pt>
                <c:pt idx="2">
                  <c:v>30</c:v>
                </c:pt>
                <c:pt idx="3">
                  <c:v>60</c:v>
                </c:pt>
                <c:pt idx="4">
                  <c:v>90</c:v>
                </c:pt>
              </c:numCache>
            </c:numRef>
          </c:xVal>
          <c:yVal>
            <c:numRef>
              <c:f>AH!$G$15:$G$19</c:f>
              <c:numCache>
                <c:formatCode>0.00</c:formatCode>
                <c:ptCount val="5"/>
                <c:pt idx="0">
                  <c:v>0</c:v>
                </c:pt>
                <c:pt idx="1">
                  <c:v>19.90945411277605</c:v>
                </c:pt>
                <c:pt idx="2">
                  <c:v>37.935437686823434</c:v>
                </c:pt>
                <c:pt idx="3">
                  <c:v>56.654058603310339</c:v>
                </c:pt>
                <c:pt idx="4">
                  <c:v>84.934170431350537</c:v>
                </c:pt>
              </c:numCache>
            </c:numRef>
          </c:yVal>
          <c:smooth val="0"/>
          <c:extLst>
            <c:ext xmlns:c16="http://schemas.microsoft.com/office/drawing/2014/chart" uri="{C3380CC4-5D6E-409C-BE32-E72D297353CC}">
              <c16:uniqueId val="{00000000-38E5-4C7D-8B37-A78B9BD4E24B}"/>
            </c:ext>
          </c:extLst>
        </c:ser>
        <c:dLbls>
          <c:showLegendKey val="0"/>
          <c:showVal val="0"/>
          <c:showCatName val="0"/>
          <c:showSerName val="0"/>
          <c:showPercent val="0"/>
          <c:showBubbleSize val="0"/>
        </c:dLbls>
        <c:axId val="1204745904"/>
        <c:axId val="1204746384"/>
      </c:scatterChart>
      <c:valAx>
        <c:axId val="1204745904"/>
        <c:scaling>
          <c:orientation val="minMax"/>
          <c:max val="380"/>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4C4A-4727-8C27-9FEF3D5649D8}"/>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4C4A-4727-8C27-9FEF3D5649D8}"/>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4C4A-4727-8C27-9FEF3D5649D8}"/>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4C4A-4727-8C27-9FEF3D5649D8}"/>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45BC-4F68-9BCF-BC8472E92062}"/>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45BC-4F68-9BCF-BC8472E92062}"/>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45BC-4F68-9BCF-BC8472E92062}"/>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45BC-4F68-9BCF-BC8472E92062}"/>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169C-47D1-AFC9-E778ABB64F69}"/>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169C-47D1-AFC9-E778ABB64F69}"/>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7791-4CA6-84CC-F47185CEF10E}"/>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7791-4CA6-84CC-F47185CEF10E}"/>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7791-4CA6-84CC-F47185CEF10E}"/>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7791-4CA6-84CC-F47185CEF10E}"/>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589E-4286-9FB6-C5E918730554}"/>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589E-4286-9FB6-C5E918730554}"/>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589E-4286-9FB6-C5E918730554}"/>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589E-4286-9FB6-C5E918730554}"/>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C4B3-4F57-997F-C4B513498CCD}"/>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C4B3-4F57-997F-C4B513498CCD}"/>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2757-4347-84EE-D17350C94E69}"/>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2757-4347-84EE-D17350C94E69}"/>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2757-4347-84EE-D17350C94E69}"/>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2757-4347-84EE-D17350C94E69}"/>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CBF5-4B89-8AB0-6EDA31F07840}"/>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CBF5-4B89-8AB0-6EDA31F07840}"/>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CBF5-4B89-8AB0-6EDA31F07840}"/>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CBF5-4B89-8AB0-6EDA31F07840}"/>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I!$B$14:$B$20</c:f>
              <c:numCache>
                <c:formatCode>General</c:formatCode>
                <c:ptCount val="7"/>
                <c:pt idx="0">
                  <c:v>0</c:v>
                </c:pt>
                <c:pt idx="1">
                  <c:v>5</c:v>
                </c:pt>
                <c:pt idx="2">
                  <c:v>15</c:v>
                </c:pt>
                <c:pt idx="3">
                  <c:v>30</c:v>
                </c:pt>
                <c:pt idx="4">
                  <c:v>45</c:v>
                </c:pt>
                <c:pt idx="5">
                  <c:v>60</c:v>
                </c:pt>
                <c:pt idx="6">
                  <c:v>90</c:v>
                </c:pt>
              </c:numCache>
            </c:numRef>
          </c:xVal>
          <c:yVal>
            <c:numRef>
              <c:f>I!$M$14:$M$20</c:f>
              <c:numCache>
                <c:formatCode>0.00</c:formatCode>
                <c:ptCount val="7"/>
                <c:pt idx="0">
                  <c:v>0</c:v>
                </c:pt>
                <c:pt idx="1">
                  <c:v>0.91836270090606931</c:v>
                </c:pt>
                <c:pt idx="2">
                  <c:v>2.4623229977689753</c:v>
                </c:pt>
                <c:pt idx="3">
                  <c:v>4.2143605154122845</c:v>
                </c:pt>
                <c:pt idx="4">
                  <c:v>5.6845603970313716</c:v>
                </c:pt>
                <c:pt idx="5">
                  <c:v>6.6680326002822934</c:v>
                </c:pt>
                <c:pt idx="6">
                  <c:v>8.1878614032691353</c:v>
                </c:pt>
              </c:numCache>
            </c:numRef>
          </c:yVal>
          <c:smooth val="0"/>
          <c:extLst>
            <c:ext xmlns:c16="http://schemas.microsoft.com/office/drawing/2014/chart" uri="{C3380CC4-5D6E-409C-BE32-E72D297353CC}">
              <c16:uniqueId val="{00000000-1DFA-474D-848F-E81DEA47D1B2}"/>
            </c:ext>
          </c:extLst>
        </c:ser>
        <c:dLbls>
          <c:showLegendKey val="0"/>
          <c:showVal val="0"/>
          <c:showCatName val="0"/>
          <c:showSerName val="0"/>
          <c:showPercent val="0"/>
          <c:showBubbleSize val="0"/>
        </c:dLbls>
        <c:axId val="897457232"/>
        <c:axId val="897459152"/>
      </c:scatterChart>
      <c:valAx>
        <c:axId val="8974572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97459152"/>
        <c:crosses val="autoZero"/>
        <c:crossBetween val="midCat"/>
      </c:valAx>
      <c:valAx>
        <c:axId val="89745915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9745723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EECA-432E-AEF7-52488888BBDE}"/>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EECA-432E-AEF7-52488888BBDE}"/>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0814-4050-899B-B4CCFAFF23A6}"/>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0814-4050-899B-B4CCFAFF23A6}"/>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0814-4050-899B-B4CCFAFF23A6}"/>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0814-4050-899B-B4CCFAFF23A6}"/>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8E53-4966-AFF3-3009217170DF}"/>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8E53-4966-AFF3-3009217170DF}"/>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8E53-4966-AFF3-3009217170DF}"/>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8E53-4966-AFF3-3009217170DF}"/>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1B24-4710-96E1-840A023E51A8}"/>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1B24-4710-96E1-840A023E51A8}"/>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B5EB-45A9-9BA5-46083C998FEA}"/>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B5EB-45A9-9BA5-46083C998FEA}"/>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B5EB-45A9-9BA5-46083C998FEA}"/>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B5EB-45A9-9BA5-46083C998FEA}"/>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75A7-4641-8715-0589EC856582}"/>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75A7-4641-8715-0589EC856582}"/>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75A7-4641-8715-0589EC856582}"/>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75A7-4641-8715-0589EC856582}"/>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D5B2-4446-ADE1-0AEEB269D2BD}"/>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D5B2-4446-ADE1-0AEEB269D2BD}"/>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BD5C-4CD6-9DB8-8173FCE1E834}"/>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BD5C-4CD6-9DB8-8173FCE1E834}"/>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BD5C-4CD6-9DB8-8173FCE1E834}"/>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BD5C-4CD6-9DB8-8173FCE1E834}"/>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D0C0-43B2-A597-6644B759006D}"/>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D0C0-43B2-A597-6644B759006D}"/>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D0C0-43B2-A597-6644B759006D}"/>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D0C0-43B2-A597-6644B759006D}"/>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90DB-4237-8001-F3FC844EBACF}"/>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90DB-4237-8001-F3FC844EBACF}"/>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I!$B$14:$B$20</c:f>
              <c:numCache>
                <c:formatCode>General</c:formatCode>
                <c:ptCount val="7"/>
                <c:pt idx="0">
                  <c:v>0</c:v>
                </c:pt>
                <c:pt idx="1">
                  <c:v>5</c:v>
                </c:pt>
                <c:pt idx="2">
                  <c:v>15</c:v>
                </c:pt>
                <c:pt idx="3">
                  <c:v>30</c:v>
                </c:pt>
                <c:pt idx="4">
                  <c:v>45</c:v>
                </c:pt>
                <c:pt idx="5">
                  <c:v>60</c:v>
                </c:pt>
                <c:pt idx="6">
                  <c:v>90</c:v>
                </c:pt>
              </c:numCache>
            </c:numRef>
          </c:xVal>
          <c:yVal>
            <c:numRef>
              <c:f>I!$N$14:$N$20</c:f>
              <c:numCache>
                <c:formatCode>General</c:formatCode>
                <c:ptCount val="7"/>
                <c:pt idx="0">
                  <c:v>0</c:v>
                </c:pt>
                <c:pt idx="1">
                  <c:v>1.09167771507023E-2</c:v>
                </c:pt>
                <c:pt idx="2">
                  <c:v>3.5564090539631665E-2</c:v>
                </c:pt>
                <c:pt idx="3">
                  <c:v>8.0515769158325978E-2</c:v>
                </c:pt>
                <c:pt idx="4">
                  <c:v>0.14894488198539807</c:v>
                </c:pt>
                <c:pt idx="5">
                  <c:v>0.23247884292935767</c:v>
                </c:pt>
                <c:pt idx="6">
                  <c:v>0.58371116363557363</c:v>
                </c:pt>
              </c:numCache>
            </c:numRef>
          </c:yVal>
          <c:smooth val="0"/>
          <c:extLst>
            <c:ext xmlns:c16="http://schemas.microsoft.com/office/drawing/2014/chart" uri="{C3380CC4-5D6E-409C-BE32-E72D297353CC}">
              <c16:uniqueId val="{00000000-C4FA-46D7-9E81-E75520BFCF07}"/>
            </c:ext>
          </c:extLst>
        </c:ser>
        <c:dLbls>
          <c:showLegendKey val="0"/>
          <c:showVal val="0"/>
          <c:showCatName val="0"/>
          <c:showSerName val="0"/>
          <c:showPercent val="0"/>
          <c:showBubbleSize val="0"/>
        </c:dLbls>
        <c:axId val="1817377247"/>
        <c:axId val="1817378207"/>
      </c:scatterChart>
      <c:valAx>
        <c:axId val="181737724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17378207"/>
        <c:crosses val="autoZero"/>
        <c:crossBetween val="midCat"/>
      </c:valAx>
      <c:valAx>
        <c:axId val="181737820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1737724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5D7B-43D7-8424-A7A37D3EC5AD}"/>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5D7B-43D7-8424-A7A37D3EC5AD}"/>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5D7B-43D7-8424-A7A37D3EC5AD}"/>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5D7B-43D7-8424-A7A37D3EC5AD}"/>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3080-4675-B1F0-C4DFD8E0E3A1}"/>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3080-4675-B1F0-C4DFD8E0E3A1}"/>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3080-4675-B1F0-C4DFD8E0E3A1}"/>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3080-4675-B1F0-C4DFD8E0E3A1}"/>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0151-48B2-B47A-8EB498364E21}"/>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0151-48B2-B47A-8EB498364E21}"/>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todos los experimentos 25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Q!$B$15:$B$25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Q!$G$15:$G$25</c:f>
              <c:numCache>
                <c:formatCode>0.00</c:formatCode>
                <c:ptCount val="11"/>
                <c:pt idx="0">
                  <c:v>0</c:v>
                </c:pt>
                <c:pt idx="1">
                  <c:v>-2.7554715792792336E-2</c:v>
                </c:pt>
                <c:pt idx="2">
                  <c:v>0.52944418201858257</c:v>
                </c:pt>
                <c:pt idx="3">
                  <c:v>1.9681939852004993E-3</c:v>
                </c:pt>
                <c:pt idx="4">
                  <c:v>-0.474334750432998</c:v>
                </c:pt>
                <c:pt idx="5">
                  <c:v>-0.78727759407968678</c:v>
                </c:pt>
                <c:pt idx="6">
                  <c:v>-1.2931034482758634</c:v>
                </c:pt>
                <c:pt idx="7">
                  <c:v>0.1751692646827272</c:v>
                </c:pt>
                <c:pt idx="8">
                  <c:v>-1.3737994016690398</c:v>
                </c:pt>
                <c:pt idx="9">
                  <c:v>-2.3598645882538163</c:v>
                </c:pt>
                <c:pt idx="10">
                  <c:v>-2.0843174303259366</c:v>
                </c:pt>
              </c:numCache>
            </c:numRef>
          </c:yVal>
          <c:smooth val="0"/>
          <c:extLst>
            <c:ext xmlns:c16="http://schemas.microsoft.com/office/drawing/2014/chart" uri="{C3380CC4-5D6E-409C-BE32-E72D297353CC}">
              <c16:uniqueId val="{00000000-D4A1-471E-95D2-C8A56523FBDA}"/>
            </c:ext>
          </c:extLst>
        </c:ser>
        <c:ser>
          <c:idx val="1"/>
          <c:order val="1"/>
          <c:tx>
            <c:v>Control 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'R'!$B$15:$B$25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'R'!$G$15:$G$25</c:f>
              <c:numCache>
                <c:formatCode>0.00</c:formatCode>
                <c:ptCount val="11"/>
                <c:pt idx="0">
                  <c:v>0</c:v>
                </c:pt>
                <c:pt idx="1">
                  <c:v>6.4092823762693234</c:v>
                </c:pt>
                <c:pt idx="2">
                  <c:v>16.366289334799916</c:v>
                </c:pt>
                <c:pt idx="3">
                  <c:v>28.934807961316572</c:v>
                </c:pt>
                <c:pt idx="4">
                  <c:v>49.854620155358006</c:v>
                </c:pt>
                <c:pt idx="5">
                  <c:v>65.189084043570276</c:v>
                </c:pt>
                <c:pt idx="6">
                  <c:v>76.724085542953731</c:v>
                </c:pt>
                <c:pt idx="7">
                  <c:v>84.871447570067133</c:v>
                </c:pt>
                <c:pt idx="8">
                  <c:v>89.38170047353357</c:v>
                </c:pt>
                <c:pt idx="9">
                  <c:v>93.032669022257082</c:v>
                </c:pt>
                <c:pt idx="10">
                  <c:v>95.669919622528056</c:v>
                </c:pt>
              </c:numCache>
            </c:numRef>
          </c:yVal>
          <c:smooth val="0"/>
          <c:extLst>
            <c:ext xmlns:c16="http://schemas.microsoft.com/office/drawing/2014/chart" uri="{C3380CC4-5D6E-409C-BE32-E72D297353CC}">
              <c16:uniqueId val="{00000001-D4A1-471E-95D2-C8A56523FBDA}"/>
            </c:ext>
          </c:extLst>
        </c:ser>
        <c:ser>
          <c:idx val="2"/>
          <c:order val="2"/>
          <c:tx>
            <c:v>OA + fibra MOF-Fe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S!$B$15:$B$25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S!$G$15:$G$25</c:f>
              <c:numCache>
                <c:formatCode>0.00</c:formatCode>
                <c:ptCount val="11"/>
                <c:pt idx="0">
                  <c:v>0</c:v>
                </c:pt>
                <c:pt idx="1">
                  <c:v>7.6691491047377491</c:v>
                </c:pt>
                <c:pt idx="2">
                  <c:v>16.883219774996046</c:v>
                </c:pt>
                <c:pt idx="3">
                  <c:v>32.778085881793686</c:v>
                </c:pt>
                <c:pt idx="4">
                  <c:v>61.115512597052756</c:v>
                </c:pt>
                <c:pt idx="5">
                  <c:v>75.493186499762317</c:v>
                </c:pt>
                <c:pt idx="6">
                  <c:v>81.296545713832998</c:v>
                </c:pt>
                <c:pt idx="7">
                  <c:v>85.014260814450964</c:v>
                </c:pt>
                <c:pt idx="8">
                  <c:v>90.409602281730301</c:v>
                </c:pt>
                <c:pt idx="9">
                  <c:v>89.738155601331002</c:v>
                </c:pt>
                <c:pt idx="10">
                  <c:v>93.687608936777053</c:v>
                </c:pt>
              </c:numCache>
            </c:numRef>
          </c:yVal>
          <c:smooth val="0"/>
          <c:extLst>
            <c:ext xmlns:c16="http://schemas.microsoft.com/office/drawing/2014/chart" uri="{C3380CC4-5D6E-409C-BE32-E72D297353CC}">
              <c16:uniqueId val="{00000002-D4A1-471E-95D2-C8A56523FBDA}"/>
            </c:ext>
          </c:extLst>
        </c:ser>
        <c:ser>
          <c:idx val="3"/>
          <c:order val="3"/>
          <c:tx>
            <c:v>Foto + fibra g-C3N4 (AC)</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AC!$B$15:$B$25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AC!$G$15:$G$25</c:f>
              <c:numCache>
                <c:formatCode>0.00</c:formatCode>
                <c:ptCount val="11"/>
                <c:pt idx="0">
                  <c:v>0</c:v>
                </c:pt>
                <c:pt idx="1">
                  <c:v>2.1436756628600726</c:v>
                </c:pt>
                <c:pt idx="2">
                  <c:v>4.6271782510767725</c:v>
                </c:pt>
                <c:pt idx="3">
                  <c:v>9.9162287114237095</c:v>
                </c:pt>
                <c:pt idx="4">
                  <c:v>20.180187299956533</c:v>
                </c:pt>
                <c:pt idx="5">
                  <c:v>30.37104358477891</c:v>
                </c:pt>
                <c:pt idx="6">
                  <c:v>40.301102461769467</c:v>
                </c:pt>
                <c:pt idx="7">
                  <c:v>48.99830086537321</c:v>
                </c:pt>
                <c:pt idx="8">
                  <c:v>55.814596751886825</c:v>
                </c:pt>
                <c:pt idx="9">
                  <c:v>62.443197534279051</c:v>
                </c:pt>
                <c:pt idx="10">
                  <c:v>68.682577942861656</c:v>
                </c:pt>
              </c:numCache>
            </c:numRef>
          </c:yVal>
          <c:smooth val="0"/>
          <c:extLst>
            <c:ext xmlns:c16="http://schemas.microsoft.com/office/drawing/2014/chart" uri="{C3380CC4-5D6E-409C-BE32-E72D297353CC}">
              <c16:uniqueId val="{00000003-D4A1-471E-95D2-C8A56523FBDA}"/>
            </c:ext>
          </c:extLst>
        </c:ser>
        <c:ser>
          <c:idx val="4"/>
          <c:order val="4"/>
          <c:tx>
            <c:v>TODO (AA)</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AA!$B$15:$B$25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AA!$G$15:$G$25</c:f>
              <c:numCache>
                <c:formatCode>0.00</c:formatCode>
                <c:ptCount val="11"/>
                <c:pt idx="0">
                  <c:v>0</c:v>
                </c:pt>
                <c:pt idx="1">
                  <c:v>10.10774756285274</c:v>
                </c:pt>
                <c:pt idx="2">
                  <c:v>21.663969688597696</c:v>
                </c:pt>
                <c:pt idx="3">
                  <c:v>43.87062398863322</c:v>
                </c:pt>
                <c:pt idx="4">
                  <c:v>68.394048229861468</c:v>
                </c:pt>
                <c:pt idx="5">
                  <c:v>86.715080712002205</c:v>
                </c:pt>
                <c:pt idx="6">
                  <c:v>94.685637605083471</c:v>
                </c:pt>
                <c:pt idx="7">
                  <c:v>96.95504598018708</c:v>
                </c:pt>
                <c:pt idx="8">
                  <c:v>98.817934246359087</c:v>
                </c:pt>
                <c:pt idx="9">
                  <c:v>99.615187275525912</c:v>
                </c:pt>
                <c:pt idx="10">
                  <c:v>99.978292615542486</c:v>
                </c:pt>
              </c:numCache>
            </c:numRef>
          </c:yVal>
          <c:smooth val="0"/>
          <c:extLst>
            <c:ext xmlns:c16="http://schemas.microsoft.com/office/drawing/2014/chart" uri="{C3380CC4-5D6E-409C-BE32-E72D297353CC}">
              <c16:uniqueId val="{00000004-D4A1-471E-95D2-C8A56523FBDA}"/>
            </c:ext>
          </c:extLst>
        </c:ser>
        <c:ser>
          <c:idx val="5"/>
          <c:order val="5"/>
          <c:tx>
            <c:v>TODO EN DOS FASES (AB)</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AB!$B$15:$B$25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AB!$G$15:$G$25</c:f>
              <c:numCache>
                <c:formatCode>0.00</c:formatCode>
                <c:ptCount val="11"/>
                <c:pt idx="0">
                  <c:v>0</c:v>
                </c:pt>
                <c:pt idx="1">
                  <c:v>9.4682974057023319</c:v>
                </c:pt>
                <c:pt idx="2">
                  <c:v>18.488075714765571</c:v>
                </c:pt>
                <c:pt idx="3">
                  <c:v>32.490960463140425</c:v>
                </c:pt>
                <c:pt idx="4">
                  <c:v>47.098456857204958</c:v>
                </c:pt>
                <c:pt idx="5">
                  <c:v>60.656774219043299</c:v>
                </c:pt>
                <c:pt idx="6">
                  <c:v>69.668649107901444</c:v>
                </c:pt>
                <c:pt idx="7">
                  <c:v>86.010946236984054</c:v>
                </c:pt>
                <c:pt idx="8">
                  <c:v>88.348382762640526</c:v>
                </c:pt>
                <c:pt idx="9">
                  <c:v>90.280769002785959</c:v>
                </c:pt>
                <c:pt idx="10">
                  <c:v>91.989883622137484</c:v>
                </c:pt>
              </c:numCache>
            </c:numRef>
          </c:yVal>
          <c:smooth val="0"/>
          <c:extLst>
            <c:ext xmlns:c16="http://schemas.microsoft.com/office/drawing/2014/chart" uri="{C3380CC4-5D6E-409C-BE32-E72D297353CC}">
              <c16:uniqueId val="{00000005-D4A1-471E-95D2-C8A56523FBDA}"/>
            </c:ext>
          </c:extLst>
        </c:ser>
        <c:dLbls>
          <c:showLegendKey val="0"/>
          <c:showVal val="0"/>
          <c:showCatName val="0"/>
          <c:showSerName val="0"/>
          <c:showPercent val="0"/>
          <c:showBubbleSize val="0"/>
        </c:dLbls>
        <c:axId val="377641695"/>
        <c:axId val="2016365535"/>
      </c:scatterChart>
      <c:valAx>
        <c:axId val="377641695"/>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16365535"/>
        <c:crosses val="autoZero"/>
        <c:crossBetween val="midCat"/>
      </c:valAx>
      <c:valAx>
        <c:axId val="2016365535"/>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37764169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todos los experimentos 10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738723468334864"/>
          <c:h val="0.65301454647078072"/>
        </c:manualLayout>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DC50-4CD1-A9E5-3AFAC92190B6}"/>
            </c:ext>
          </c:extLst>
        </c:ser>
        <c:ser>
          <c:idx val="4"/>
          <c:order val="4"/>
          <c:tx>
            <c:v>FOTO + fibra g-C3N4</c:v>
          </c:tx>
          <c:spPr>
            <a:ln w="19050" cap="rnd">
              <a:solidFill>
                <a:srgbClr val="FFC000"/>
              </a:solidFill>
              <a:round/>
            </a:ln>
            <a:effectLst/>
          </c:spPr>
          <c:marker>
            <c:symbol val="circle"/>
            <c:size val="5"/>
            <c:spPr>
              <a:solidFill>
                <a:schemeClr val="accent4"/>
              </a:solidFill>
              <a:ln w="9525">
                <a:solidFill>
                  <a:srgbClr val="FFC000"/>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K!$G$14:$G$20</c:f>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c:ext xmlns:c16="http://schemas.microsoft.com/office/drawing/2014/chart" uri="{C3380CC4-5D6E-409C-BE32-E72D297353CC}">
              <c16:uniqueId val="{00000001-DC50-4CD1-A9E5-3AFAC92190B6}"/>
            </c:ext>
          </c:extLst>
        </c:ser>
        <c:ser>
          <c:idx val="9"/>
          <c:order val="9"/>
          <c:tx>
            <c:v>Control OA 25mA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2-DC50-4CD1-A9E5-3AFAC92190B6}"/>
            </c:ext>
          </c:extLst>
        </c:ser>
        <c:ser>
          <c:idx val="10"/>
          <c:order val="10"/>
          <c:tx>
            <c:v>OA 25 mA + Fibra MOF-Fe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3-DC50-4CD1-A9E5-3AFAC92190B6}"/>
            </c:ext>
          </c:extLst>
        </c:ser>
        <c:ser>
          <c:idx val="11"/>
          <c:order val="11"/>
          <c:tx>
            <c:v>Todo 25 mA</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04-DC50-4CD1-A9E5-3AFAC92190B6}"/>
            </c:ext>
          </c:extLst>
        </c:ser>
        <c:dLbls>
          <c:showLegendKey val="0"/>
          <c:showVal val="0"/>
          <c:showCatName val="0"/>
          <c:showSerName val="0"/>
          <c:showPercent val="0"/>
          <c:showBubbleSize val="0"/>
        </c:dLbls>
        <c:axId val="1266466976"/>
        <c:axId val="1276622048"/>
        <c:extLst>
          <c:ext xmlns:c15="http://schemas.microsoft.com/office/drawing/2012/chart" uri="{02D57815-91ED-43cb-92C2-25804820EDAC}">
            <c15:filteredScatterSeries>
              <c15: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I!$B$14:$B$20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c:ext uri="{02D57815-91ED-43cb-92C2-25804820EDAC}">
                        <c15:formulaRef>
                          <c15:sqref>I!$G$14:$G$20</c15:sqref>
                        </c15:formulaRef>
                      </c:ext>
                    </c:extLst>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5-DC50-4CD1-A9E5-3AFAC92190B6}"/>
                  </c:ext>
                </c:extLst>
              </c15:ser>
            </c15:filteredScatterSeries>
            <c15:filteredScatterSeries>
              <c15: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xmlns:c15="http://schemas.microsoft.com/office/drawing/2012/chart">
                      <c:ext xmlns:c15="http://schemas.microsoft.com/office/drawing/2012/chart" uri="{02D57815-91ED-43cb-92C2-25804820EDAC}">
                        <c15:formulaRef>
                          <c15:sqref>N!$B$15:$B$21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N!$G$15:$G$21</c15:sqref>
                        </c15:formulaRef>
                      </c:ext>
                    </c:extLst>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xmlns:c15="http://schemas.microsoft.com/office/drawing/2012/chart">
                  <c:ext xmlns:c16="http://schemas.microsoft.com/office/drawing/2014/chart" uri="{C3380CC4-5D6E-409C-BE32-E72D297353CC}">
                    <c16:uniqueId val="{00000006-DC50-4CD1-A9E5-3AFAC92190B6}"/>
                  </c:ext>
                </c:extLst>
              </c15:ser>
            </c15:filteredScatterSeries>
            <c15:filteredScatterSeries>
              <c15:ser>
                <c:idx val="3"/>
                <c:order val="3"/>
                <c:tx>
                  <c:v>FOTO + OA 100mA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xmlns:c15="http://schemas.microsoft.com/office/drawing/2012/chart">
                      <c:ext xmlns:c15="http://schemas.microsoft.com/office/drawing/2012/chart" uri="{02D57815-91ED-43cb-92C2-25804820EDAC}">
                        <c15:formulaRef>
                          <c15:sqref>H!$B$14:$B$20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H!$G$14:$G$20</c15:sqref>
                        </c15:formulaRef>
                      </c:ext>
                    </c:extLst>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xmlns:c15="http://schemas.microsoft.com/office/drawing/2012/chart">
                  <c:ext xmlns:c16="http://schemas.microsoft.com/office/drawing/2014/chart" uri="{C3380CC4-5D6E-409C-BE32-E72D297353CC}">
                    <c16:uniqueId val="{00000007-DC50-4CD1-A9E5-3AFAC92190B6}"/>
                  </c:ext>
                </c:extLst>
              </c15:ser>
            </c15:filteredScatterSeries>
            <c15:filteredScatterSeries>
              <c15:ser>
                <c:idx val="5"/>
                <c:order val="5"/>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J!$B$15:$B$21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J!$G$15:$G$21</c15:sqref>
                        </c15:formulaRef>
                      </c:ext>
                    </c:extLst>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xmlns:c15="http://schemas.microsoft.com/office/drawing/2012/chart">
                  <c:ext xmlns:c16="http://schemas.microsoft.com/office/drawing/2014/chart" uri="{C3380CC4-5D6E-409C-BE32-E72D297353CC}">
                    <c16:uniqueId val="{00000008-DC50-4CD1-A9E5-3AFAC92190B6}"/>
                  </c:ext>
                </c:extLst>
              </c15:ser>
            </c15:filteredScatterSeries>
            <c15:filteredScatterSeries>
              <c15:ser>
                <c:idx val="6"/>
                <c:order val="6"/>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extLst xmlns:c15="http://schemas.microsoft.com/office/drawing/2012/chart">
                      <c:ext xmlns:c15="http://schemas.microsoft.com/office/drawing/2012/chart" uri="{02D57815-91ED-43cb-92C2-25804820EDAC}">
                        <c15:formulaRef>
                          <c15:sqref>L!$B$15:$B$21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L!$G$15:$G$21</c15:sqref>
                        </c15:formulaRef>
                      </c:ext>
                    </c:extLst>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xmlns:c15="http://schemas.microsoft.com/office/drawing/2012/chart">
                  <c:ext xmlns:c16="http://schemas.microsoft.com/office/drawing/2014/chart" uri="{C3380CC4-5D6E-409C-BE32-E72D297353CC}">
                    <c16:uniqueId val="{00000009-DC50-4CD1-A9E5-3AFAC92190B6}"/>
                  </c:ext>
                </c:extLst>
              </c15:ser>
            </c15:filteredScatterSeries>
            <c15:filteredScatterSeries>
              <c15:ser>
                <c:idx val="7"/>
                <c:order val="7"/>
                <c:tx>
                  <c:v>Experimento Y</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extLst xmlns:c15="http://schemas.microsoft.com/office/drawing/2012/chart">
                      <c:ext xmlns:c15="http://schemas.microsoft.com/office/drawing/2012/chart" uri="{02D57815-91ED-43cb-92C2-25804820EDAC}">
                        <c15:formulaRef>
                          <c15:sqref>M!$B$14:$B$20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M!$G$14:$G$20</c15:sqref>
                        </c15:formulaRef>
                      </c:ext>
                    </c:extLst>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xmlns:c15="http://schemas.microsoft.com/office/drawing/2012/chart">
                  <c:ext xmlns:c16="http://schemas.microsoft.com/office/drawing/2014/chart" uri="{C3380CC4-5D6E-409C-BE32-E72D297353CC}">
                    <c16:uniqueId val="{0000000A-DC50-4CD1-A9E5-3AFAC92190B6}"/>
                  </c:ext>
                </c:extLst>
              </c15:ser>
            </c15:filteredScatterSeries>
            <c15:filteredScatterSeries>
              <c15:ser>
                <c:idx val="8"/>
                <c:order val="8"/>
                <c:tx>
                  <c:v>0A 100mA + Fibra g-C3N4</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numRef>
                    <c:extLst xmlns:c15="http://schemas.microsoft.com/office/drawing/2012/chart">
                      <c:ext xmlns:c15="http://schemas.microsoft.com/office/drawing/2012/chart" uri="{02D57815-91ED-43cb-92C2-25804820EDAC}">
                        <c15:formulaRef>
                          <c15:sqref>'C'!$B$13:$B$19</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'C'!$G$13:$G$19</c15:sqref>
                        </c15:formulaRef>
                      </c:ext>
                    </c:extLst>
                    <c:numCache>
                      <c:formatCode>General</c:formatCode>
                      <c:ptCount val="7"/>
                      <c:pt idx="0">
                        <c:v>0</c:v>
                      </c:pt>
                      <c:pt idx="1">
                        <c:v>12.488973884374008</c:v>
                      </c:pt>
                      <c:pt idx="2">
                        <c:v>26.403570292390892</c:v>
                      </c:pt>
                      <c:pt idx="3">
                        <c:v>40.967442230384357</c:v>
                      </c:pt>
                      <c:pt idx="4">
                        <c:v>57.897952396101459</c:v>
                      </c:pt>
                      <c:pt idx="5">
                        <c:v>68.18694507909882</c:v>
                      </c:pt>
                      <c:pt idx="6">
                        <c:v>84.556207883853432</c:v>
                      </c:pt>
                    </c:numCache>
                  </c:numRef>
                </c:yVal>
                <c:smooth val="0"/>
                <c:extLst xmlns:c15="http://schemas.microsoft.com/office/drawing/2012/chart">
                  <c:ext xmlns:c16="http://schemas.microsoft.com/office/drawing/2014/chart" uri="{C3380CC4-5D6E-409C-BE32-E72D297353CC}">
                    <c16:uniqueId val="{0000000B-DC50-4CD1-A9E5-3AFAC92190B6}"/>
                  </c:ext>
                </c:extLst>
              </c15:ser>
            </c15:filteredScatterSeries>
          </c:ext>
        </c:extLst>
      </c:scatterChart>
      <c:valAx>
        <c:axId val="1266466976"/>
        <c:scaling>
          <c:orientation val="minMax"/>
          <c:max val="4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majorUnit val="20"/>
      </c:valAx>
      <c:spPr>
        <a:noFill/>
        <a:ln>
          <a:noFill/>
        </a:ln>
        <a:effectLst/>
      </c:spPr>
    </c:plotArea>
    <c:legend>
      <c:legendPos val="r"/>
      <c:layout>
        <c:manualLayout>
          <c:xMode val="edge"/>
          <c:yMode val="edge"/>
          <c:x val="0.78315924867542763"/>
          <c:y val="0.1602012510214198"/>
          <c:w val="0.21078418665276125"/>
          <c:h val="0.7407415514866140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50 ppm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1"/>
          <c:order val="1"/>
          <c:tx>
            <c:v>Control 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AE!$B$15:$B$26</c:f>
              <c:numCache>
                <c:formatCode>General</c:formatCode>
                <c:ptCount val="12"/>
                <c:pt idx="0">
                  <c:v>0</c:v>
                </c:pt>
                <c:pt idx="1">
                  <c:v>5</c:v>
                </c:pt>
                <c:pt idx="2">
                  <c:v>22</c:v>
                </c:pt>
                <c:pt idx="3">
                  <c:v>32</c:v>
                </c:pt>
                <c:pt idx="4">
                  <c:v>60</c:v>
                </c:pt>
                <c:pt idx="5">
                  <c:v>100</c:v>
                </c:pt>
                <c:pt idx="6">
                  <c:v>120</c:v>
                </c:pt>
                <c:pt idx="7">
                  <c:v>150</c:v>
                </c:pt>
                <c:pt idx="8">
                  <c:v>180</c:v>
                </c:pt>
                <c:pt idx="9">
                  <c:v>240</c:v>
                </c:pt>
                <c:pt idx="10">
                  <c:v>300</c:v>
                </c:pt>
                <c:pt idx="11">
                  <c:v>360</c:v>
                </c:pt>
              </c:numCache>
            </c:numRef>
          </c:xVal>
          <c:yVal>
            <c:numRef>
              <c:f>AE!$G$15:$G$26</c:f>
              <c:numCache>
                <c:formatCode>0.00</c:formatCode>
                <c:ptCount val="12"/>
                <c:pt idx="0">
                  <c:v>0</c:v>
                </c:pt>
                <c:pt idx="1">
                  <c:v>10.14239590182436</c:v>
                </c:pt>
                <c:pt idx="2">
                  <c:v>27.663666964347051</c:v>
                </c:pt>
                <c:pt idx="3">
                  <c:v>32.866858359748377</c:v>
                </c:pt>
                <c:pt idx="4">
                  <c:v>53.215438816867689</c:v>
                </c:pt>
                <c:pt idx="5">
                  <c:v>71.462919165055595</c:v>
                </c:pt>
                <c:pt idx="6">
                  <c:v>78.932079804512298</c:v>
                </c:pt>
                <c:pt idx="7">
                  <c:v>85.593577954641347</c:v>
                </c:pt>
                <c:pt idx="8">
                  <c:v>91.582841833580304</c:v>
                </c:pt>
                <c:pt idx="9">
                  <c:v>96.495549514715549</c:v>
                </c:pt>
                <c:pt idx="10">
                  <c:v>98.614314173838792</c:v>
                </c:pt>
                <c:pt idx="11">
                  <c:v>99.496560319532094</c:v>
                </c:pt>
              </c:numCache>
            </c:numRef>
          </c:yVal>
          <c:smooth val="0"/>
          <c:extLst>
            <c:ext xmlns:c16="http://schemas.microsoft.com/office/drawing/2014/chart" uri="{C3380CC4-5D6E-409C-BE32-E72D297353CC}">
              <c16:uniqueId val="{00000001-573E-4698-B07C-15DA68A057AE}"/>
            </c:ext>
          </c:extLst>
        </c:ser>
        <c:ser>
          <c:idx val="2"/>
          <c:order val="2"/>
          <c:tx>
            <c:v>OA + fibra MOF-Fe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00-0508-4E4A-81E4-1ACE2C9511DA}"/>
            </c:ext>
          </c:extLst>
        </c:ser>
        <c:ser>
          <c:idx val="5"/>
          <c:order val="5"/>
          <c:tx>
            <c:v>EF + PMS</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AI!$B$15:$B$26</c:f>
              <c:numCache>
                <c:formatCode>General</c:formatCode>
                <c:ptCount val="12"/>
                <c:pt idx="0">
                  <c:v>0</c:v>
                </c:pt>
                <c:pt idx="1">
                  <c:v>5</c:v>
                </c:pt>
                <c:pt idx="2">
                  <c:v>15</c:v>
                </c:pt>
                <c:pt idx="3">
                  <c:v>30</c:v>
                </c:pt>
                <c:pt idx="4">
                  <c:v>60</c:v>
                </c:pt>
                <c:pt idx="5">
                  <c:v>90</c:v>
                </c:pt>
                <c:pt idx="6">
                  <c:v>120</c:v>
                </c:pt>
                <c:pt idx="7">
                  <c:v>150</c:v>
                </c:pt>
                <c:pt idx="8">
                  <c:v>180</c:v>
                </c:pt>
                <c:pt idx="9">
                  <c:v>246</c:v>
                </c:pt>
                <c:pt idx="10">
                  <c:v>300</c:v>
                </c:pt>
                <c:pt idx="11">
                  <c:v>360</c:v>
                </c:pt>
              </c:numCache>
            </c:numRef>
          </c:xVal>
          <c:yVal>
            <c:numRef>
              <c:f>AI!$G$15:$G$26</c:f>
              <c:numCache>
                <c:formatCode>0.00</c:formatCode>
                <c:ptCount val="12"/>
                <c:pt idx="0">
                  <c:v>0</c:v>
                </c:pt>
                <c:pt idx="1">
                  <c:v>18.115516397454719</c:v>
                </c:pt>
                <c:pt idx="2">
                  <c:v>30.887909936368086</c:v>
                </c:pt>
                <c:pt idx="3">
                  <c:v>45.517376407244249</c:v>
                </c:pt>
                <c:pt idx="4">
                  <c:v>64.470876162506116</c:v>
                </c:pt>
                <c:pt idx="5">
                  <c:v>76.98286833088595</c:v>
                </c:pt>
                <c:pt idx="6">
                  <c:v>84.967205090553108</c:v>
                </c:pt>
                <c:pt idx="7">
                  <c:v>90.160548213411644</c:v>
                </c:pt>
                <c:pt idx="8">
                  <c:v>93.744493392070481</c:v>
                </c:pt>
                <c:pt idx="9">
                  <c:v>97.455702398433672</c:v>
                </c:pt>
                <c:pt idx="10">
                  <c:v>98.9270680372002</c:v>
                </c:pt>
                <c:pt idx="11">
                  <c:v>99.477239353891335</c:v>
                </c:pt>
              </c:numCache>
            </c:numRef>
          </c:yVal>
          <c:smooth val="0"/>
          <c:extLst>
            <c:ext xmlns:c16="http://schemas.microsoft.com/office/drawing/2014/chart" uri="{C3380CC4-5D6E-409C-BE32-E72D297353CC}">
              <c16:uniqueId val="{00000000-0774-48B9-A175-3D6AEE4D35DE}"/>
            </c:ext>
          </c:extLst>
        </c:ser>
        <c:dLbls>
          <c:showLegendKey val="0"/>
          <c:showVal val="0"/>
          <c:showCatName val="0"/>
          <c:showSerName val="0"/>
          <c:showPercent val="0"/>
          <c:showBubbleSize val="0"/>
        </c:dLbls>
        <c:axId val="2090615760"/>
        <c:axId val="1888591008"/>
        <c:extLst>
          <c:ext xmlns:c15="http://schemas.microsoft.com/office/drawing/2012/chart" uri="{02D57815-91ED-43cb-92C2-25804820EDAC}">
            <c15:filteredScatterSeries>
              <c15:ser>
                <c:idx val="0"/>
                <c:order val="0"/>
                <c:tx>
                  <c:v>TODO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AD!$B$15:$B$26</c15:sqref>
                        </c15:formulaRef>
                      </c:ext>
                    </c:extLst>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extLst>
                      <c:ext uri="{02D57815-91ED-43cb-92C2-25804820EDAC}">
                        <c15:formulaRef>
                          <c15:sqref>AD!$G$15:$G$26</c15:sqref>
                        </c15:formulaRef>
                      </c:ext>
                    </c:extLst>
                    <c:numCache>
                      <c:formatCode>0.00</c:formatCode>
                      <c:ptCount val="12"/>
                      <c:pt idx="0">
                        <c:v>0</c:v>
                      </c:pt>
                      <c:pt idx="1">
                        <c:v>13.969499413450265</c:v>
                      </c:pt>
                      <c:pt idx="2">
                        <c:v>23.03986615127214</c:v>
                      </c:pt>
                      <c:pt idx="3">
                        <c:v>39.777688032462159</c:v>
                      </c:pt>
                      <c:pt idx="4">
                        <c:v>71.138868055154902</c:v>
                      </c:pt>
                      <c:pt idx="5">
                        <c:v>86.835323756226074</c:v>
                      </c:pt>
                      <c:pt idx="6">
                        <c:v>93.681609261716574</c:v>
                      </c:pt>
                      <c:pt idx="7">
                        <c:v>97.141291178676511</c:v>
                      </c:pt>
                      <c:pt idx="8">
                        <c:v>98.908632858324211</c:v>
                      </c:pt>
                      <c:pt idx="9">
                        <c:v>99.778841900805787</c:v>
                      </c:pt>
                      <c:pt idx="10">
                        <c:v>99.835573761033856</c:v>
                      </c:pt>
                      <c:pt idx="11">
                        <c:v>99.872112925248558</c:v>
                      </c:pt>
                    </c:numCache>
                  </c:numRef>
                </c:yVal>
                <c:smooth val="0"/>
                <c:extLst>
                  <c:ext xmlns:c16="http://schemas.microsoft.com/office/drawing/2014/chart" uri="{C3380CC4-5D6E-409C-BE32-E72D297353CC}">
                    <c16:uniqueId val="{00000000-573E-4698-B07C-15DA68A057AE}"/>
                  </c:ext>
                </c:extLst>
              </c15:ser>
            </c15:filteredScatterSeries>
            <c15:filteredScatterSeries>
              <c15:ser>
                <c:idx val="3"/>
                <c:order val="3"/>
                <c:tx>
                  <c:v>OA + doble fibra MOF-Fe </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xmlns:c15="http://schemas.microsoft.com/office/drawing/2012/chart">
                      <c:ext xmlns:c15="http://schemas.microsoft.com/office/drawing/2012/chart" uri="{02D57815-91ED-43cb-92C2-25804820EDAC}">
                        <c15:formulaRef>
                          <c15:sqref>AG!$B$15:$B$26</c15:sqref>
                        </c15:formulaRef>
                      </c:ext>
                    </c:extLst>
                    <c:numCache>
                      <c:formatCode>General</c:formatCode>
                      <c:ptCount val="12"/>
                      <c:pt idx="0">
                        <c:v>0</c:v>
                      </c:pt>
                      <c:pt idx="1">
                        <c:v>5</c:v>
                      </c:pt>
                      <c:pt idx="2">
                        <c:v>15</c:v>
                      </c:pt>
                      <c:pt idx="3">
                        <c:v>30</c:v>
                      </c:pt>
                      <c:pt idx="4">
                        <c:v>60</c:v>
                      </c:pt>
                      <c:pt idx="5">
                        <c:v>100</c:v>
                      </c:pt>
                      <c:pt idx="6">
                        <c:v>127</c:v>
                      </c:pt>
                      <c:pt idx="7">
                        <c:v>150</c:v>
                      </c:pt>
                      <c:pt idx="8">
                        <c:v>180</c:v>
                      </c:pt>
                      <c:pt idx="9">
                        <c:v>247</c:v>
                      </c:pt>
                      <c:pt idx="10">
                        <c:v>300</c:v>
                      </c:pt>
                      <c:pt idx="11">
                        <c:v>360</c:v>
                      </c:pt>
                    </c:numCache>
                  </c:numRef>
                </c:xVal>
                <c:yVal>
                  <c:numRef>
                    <c:extLst xmlns:c15="http://schemas.microsoft.com/office/drawing/2012/chart">
                      <c:ext xmlns:c15="http://schemas.microsoft.com/office/drawing/2012/chart" uri="{02D57815-91ED-43cb-92C2-25804820EDAC}">
                        <c15:formulaRef>
                          <c15:sqref>AG!$H$15:$H$26</c15:sqref>
                        </c15:formulaRef>
                      </c:ext>
                    </c:extLst>
                    <c:numCache>
                      <c:formatCode>0.00</c:formatCode>
                      <c:ptCount val="12"/>
                      <c:pt idx="0">
                        <c:v>0</c:v>
                      </c:pt>
                      <c:pt idx="1">
                        <c:v>9.7000117873561038</c:v>
                      </c:pt>
                      <c:pt idx="2">
                        <c:v>33.712820714313779</c:v>
                      </c:pt>
                      <c:pt idx="3">
                        <c:v>50.617853915366787</c:v>
                      </c:pt>
                      <c:pt idx="4">
                        <c:v>69.195709402381041</c:v>
                      </c:pt>
                      <c:pt idx="5">
                        <c:v>82.020352834859139</c:v>
                      </c:pt>
                      <c:pt idx="6">
                        <c:v>86.569290008251144</c:v>
                      </c:pt>
                      <c:pt idx="7">
                        <c:v>90.938470001178729</c:v>
                      </c:pt>
                      <c:pt idx="8">
                        <c:v>93.457035087029979</c:v>
                      </c:pt>
                      <c:pt idx="9">
                        <c:v>96.803661938627158</c:v>
                      </c:pt>
                      <c:pt idx="10">
                        <c:v>98.406742367686931</c:v>
                      </c:pt>
                      <c:pt idx="11">
                        <c:v>99.050135554595116</c:v>
                      </c:pt>
                    </c:numCache>
                  </c:numRef>
                </c:yVal>
                <c:smooth val="0"/>
                <c:extLst xmlns:c15="http://schemas.microsoft.com/office/drawing/2012/chart">
                  <c:ext xmlns:c16="http://schemas.microsoft.com/office/drawing/2014/chart" uri="{C3380CC4-5D6E-409C-BE32-E72D297353CC}">
                    <c16:uniqueId val="{00000000-A490-4F6D-90B2-0B6749A8DAB5}"/>
                  </c:ext>
                </c:extLst>
              </c15:ser>
            </c15:filteredScatterSeries>
            <c15:filteredScatterSeries>
              <c15:ser>
                <c:idx val="4"/>
                <c:order val="4"/>
                <c:tx>
                  <c:v>EF + H2O2</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AH!$B$15:$B$19</c15:sqref>
                        </c15:formulaRef>
                      </c:ext>
                    </c:extLst>
                    <c:numCache>
                      <c:formatCode>General</c:formatCode>
                      <c:ptCount val="5"/>
                      <c:pt idx="0">
                        <c:v>0</c:v>
                      </c:pt>
                      <c:pt idx="1">
                        <c:v>10</c:v>
                      </c:pt>
                      <c:pt idx="2">
                        <c:v>30</c:v>
                      </c:pt>
                      <c:pt idx="3">
                        <c:v>60</c:v>
                      </c:pt>
                      <c:pt idx="4">
                        <c:v>90</c:v>
                      </c:pt>
                    </c:numCache>
                  </c:numRef>
                </c:xVal>
                <c:yVal>
                  <c:numRef>
                    <c:extLst xmlns:c15="http://schemas.microsoft.com/office/drawing/2012/chart">
                      <c:ext xmlns:c15="http://schemas.microsoft.com/office/drawing/2012/chart" uri="{02D57815-91ED-43cb-92C2-25804820EDAC}">
                        <c15:formulaRef>
                          <c15:sqref>AH!$G$15:$G$19</c15:sqref>
                        </c15:formulaRef>
                      </c:ext>
                    </c:extLst>
                    <c:numCache>
                      <c:formatCode>0.00</c:formatCode>
                      <c:ptCount val="5"/>
                      <c:pt idx="0">
                        <c:v>0</c:v>
                      </c:pt>
                      <c:pt idx="1">
                        <c:v>19.90945411277605</c:v>
                      </c:pt>
                      <c:pt idx="2">
                        <c:v>37.935437686823434</c:v>
                      </c:pt>
                      <c:pt idx="3">
                        <c:v>56.654058603310339</c:v>
                      </c:pt>
                      <c:pt idx="4">
                        <c:v>84.934170431350537</c:v>
                      </c:pt>
                    </c:numCache>
                  </c:numRef>
                </c:yVal>
                <c:smooth val="0"/>
                <c:extLst xmlns:c15="http://schemas.microsoft.com/office/drawing/2012/chart">
                  <c:ext xmlns:c16="http://schemas.microsoft.com/office/drawing/2014/chart" uri="{C3380CC4-5D6E-409C-BE32-E72D297353CC}">
                    <c16:uniqueId val="{00000000-2118-41E1-BD0A-6BE73D8A3DAC}"/>
                  </c:ext>
                </c:extLst>
              </c15:ser>
            </c15:filteredScatterSeries>
          </c:ext>
        </c:extLst>
      </c:scatterChart>
      <c:valAx>
        <c:axId val="20906157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88591008"/>
        <c:crosses val="autoZero"/>
        <c:crossBetween val="midCat"/>
      </c:valAx>
      <c:valAx>
        <c:axId val="18885910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90615760"/>
        <c:crosses val="autoZero"/>
        <c:crossBetween val="midCat"/>
        <c:majorUnit val="20"/>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25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1"/>
          <c:order val="0"/>
          <c:tx>
            <c:v>Control 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'R'!$B$15:$B$25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'R'!$G$15:$G$25</c:f>
              <c:numCache>
                <c:formatCode>0.00</c:formatCode>
                <c:ptCount val="11"/>
                <c:pt idx="0">
                  <c:v>0</c:v>
                </c:pt>
                <c:pt idx="1">
                  <c:v>6.4092823762693234</c:v>
                </c:pt>
                <c:pt idx="2">
                  <c:v>16.366289334799916</c:v>
                </c:pt>
                <c:pt idx="3">
                  <c:v>28.934807961316572</c:v>
                </c:pt>
                <c:pt idx="4">
                  <c:v>49.854620155358006</c:v>
                </c:pt>
                <c:pt idx="5">
                  <c:v>65.189084043570276</c:v>
                </c:pt>
                <c:pt idx="6">
                  <c:v>76.724085542953731</c:v>
                </c:pt>
                <c:pt idx="7">
                  <c:v>84.871447570067133</c:v>
                </c:pt>
                <c:pt idx="8">
                  <c:v>89.38170047353357</c:v>
                </c:pt>
                <c:pt idx="9">
                  <c:v>93.032669022257082</c:v>
                </c:pt>
                <c:pt idx="10">
                  <c:v>95.669919622528056</c:v>
                </c:pt>
              </c:numCache>
            </c:numRef>
          </c:yVal>
          <c:smooth val="0"/>
          <c:extLst>
            <c:ext xmlns:c16="http://schemas.microsoft.com/office/drawing/2014/chart" uri="{C3380CC4-5D6E-409C-BE32-E72D297353CC}">
              <c16:uniqueId val="{00000001-D4A1-471E-95D2-C8A56523FBDA}"/>
            </c:ext>
          </c:extLst>
        </c:ser>
        <c:ser>
          <c:idx val="2"/>
          <c:order val="1"/>
          <c:tx>
            <c:v>OA + fibra MOF-Fe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S!$B$15:$B$25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S!$G$15:$G$25</c:f>
              <c:numCache>
                <c:formatCode>0.00</c:formatCode>
                <c:ptCount val="11"/>
                <c:pt idx="0">
                  <c:v>0</c:v>
                </c:pt>
                <c:pt idx="1">
                  <c:v>7.6691491047377491</c:v>
                </c:pt>
                <c:pt idx="2">
                  <c:v>16.883219774996046</c:v>
                </c:pt>
                <c:pt idx="3">
                  <c:v>32.778085881793686</c:v>
                </c:pt>
                <c:pt idx="4">
                  <c:v>61.115512597052756</c:v>
                </c:pt>
                <c:pt idx="5">
                  <c:v>75.493186499762317</c:v>
                </c:pt>
                <c:pt idx="6">
                  <c:v>81.296545713832998</c:v>
                </c:pt>
                <c:pt idx="7">
                  <c:v>85.014260814450964</c:v>
                </c:pt>
                <c:pt idx="8">
                  <c:v>90.409602281730301</c:v>
                </c:pt>
                <c:pt idx="9">
                  <c:v>89.738155601331002</c:v>
                </c:pt>
                <c:pt idx="10">
                  <c:v>93.687608936777053</c:v>
                </c:pt>
              </c:numCache>
            </c:numRef>
          </c:yVal>
          <c:smooth val="0"/>
          <c:extLst>
            <c:ext xmlns:c16="http://schemas.microsoft.com/office/drawing/2014/chart" uri="{C3380CC4-5D6E-409C-BE32-E72D297353CC}">
              <c16:uniqueId val="{00000002-D4A1-471E-95D2-C8A56523FBDA}"/>
            </c:ext>
          </c:extLst>
        </c:ser>
        <c:ser>
          <c:idx val="4"/>
          <c:order val="2"/>
          <c:tx>
            <c:v>TODO (AA)</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AA!$B$15:$B$25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AA!$G$15:$G$25</c:f>
              <c:numCache>
                <c:formatCode>0.00</c:formatCode>
                <c:ptCount val="11"/>
                <c:pt idx="0">
                  <c:v>0</c:v>
                </c:pt>
                <c:pt idx="1">
                  <c:v>10.10774756285274</c:v>
                </c:pt>
                <c:pt idx="2">
                  <c:v>21.663969688597696</c:v>
                </c:pt>
                <c:pt idx="3">
                  <c:v>43.87062398863322</c:v>
                </c:pt>
                <c:pt idx="4">
                  <c:v>68.394048229861468</c:v>
                </c:pt>
                <c:pt idx="5">
                  <c:v>86.715080712002205</c:v>
                </c:pt>
                <c:pt idx="6">
                  <c:v>94.685637605083471</c:v>
                </c:pt>
                <c:pt idx="7">
                  <c:v>96.95504598018708</c:v>
                </c:pt>
                <c:pt idx="8">
                  <c:v>98.817934246359087</c:v>
                </c:pt>
                <c:pt idx="9">
                  <c:v>99.615187275525912</c:v>
                </c:pt>
                <c:pt idx="10">
                  <c:v>99.978292615542486</c:v>
                </c:pt>
              </c:numCache>
            </c:numRef>
          </c:yVal>
          <c:smooth val="0"/>
          <c:extLst>
            <c:ext xmlns:c16="http://schemas.microsoft.com/office/drawing/2014/chart" uri="{C3380CC4-5D6E-409C-BE32-E72D297353CC}">
              <c16:uniqueId val="{00000004-D4A1-471E-95D2-C8A56523FBDA}"/>
            </c:ext>
          </c:extLst>
        </c:ser>
        <c:dLbls>
          <c:showLegendKey val="0"/>
          <c:showVal val="0"/>
          <c:showCatName val="0"/>
          <c:showSerName val="0"/>
          <c:showPercent val="0"/>
          <c:showBubbleSize val="0"/>
        </c:dLbls>
        <c:axId val="377641695"/>
        <c:axId val="2016365535"/>
      </c:scatterChart>
      <c:valAx>
        <c:axId val="377641695"/>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16365535"/>
        <c:crosses val="autoZero"/>
        <c:crossBetween val="midCat"/>
      </c:valAx>
      <c:valAx>
        <c:axId val="2016365535"/>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37764169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50 ppm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TODO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AD!$B$15:$B$26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AD!$G$15:$G$26</c:f>
              <c:numCache>
                <c:formatCode>0.00</c:formatCode>
                <c:ptCount val="12"/>
                <c:pt idx="0">
                  <c:v>0</c:v>
                </c:pt>
                <c:pt idx="1">
                  <c:v>13.969499413450265</c:v>
                </c:pt>
                <c:pt idx="2">
                  <c:v>23.03986615127214</c:v>
                </c:pt>
                <c:pt idx="3">
                  <c:v>39.777688032462159</c:v>
                </c:pt>
                <c:pt idx="4">
                  <c:v>71.138868055154902</c:v>
                </c:pt>
                <c:pt idx="5">
                  <c:v>86.835323756226074</c:v>
                </c:pt>
                <c:pt idx="6">
                  <c:v>93.681609261716574</c:v>
                </c:pt>
                <c:pt idx="7">
                  <c:v>97.141291178676511</c:v>
                </c:pt>
                <c:pt idx="8">
                  <c:v>98.908632858324211</c:v>
                </c:pt>
                <c:pt idx="9">
                  <c:v>99.778841900805787</c:v>
                </c:pt>
                <c:pt idx="10">
                  <c:v>99.835573761033856</c:v>
                </c:pt>
                <c:pt idx="11">
                  <c:v>99.872112925248558</c:v>
                </c:pt>
              </c:numCache>
            </c:numRef>
          </c:yVal>
          <c:smooth val="0"/>
          <c:extLst>
            <c:ext xmlns:c16="http://schemas.microsoft.com/office/drawing/2014/chart" uri="{C3380CC4-5D6E-409C-BE32-E72D297353CC}">
              <c16:uniqueId val="{00000000-43F2-4765-BE0A-1329BFEAB5DD}"/>
            </c:ext>
          </c:extLst>
        </c:ser>
        <c:ser>
          <c:idx val="1"/>
          <c:order val="1"/>
          <c:tx>
            <c:v>Control OA con aire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AE!$B$15:$B$26</c:f>
              <c:numCache>
                <c:formatCode>General</c:formatCode>
                <c:ptCount val="12"/>
                <c:pt idx="0">
                  <c:v>0</c:v>
                </c:pt>
                <c:pt idx="1">
                  <c:v>5</c:v>
                </c:pt>
                <c:pt idx="2">
                  <c:v>22</c:v>
                </c:pt>
                <c:pt idx="3">
                  <c:v>32</c:v>
                </c:pt>
                <c:pt idx="4">
                  <c:v>60</c:v>
                </c:pt>
                <c:pt idx="5">
                  <c:v>100</c:v>
                </c:pt>
                <c:pt idx="6">
                  <c:v>120</c:v>
                </c:pt>
                <c:pt idx="7">
                  <c:v>150</c:v>
                </c:pt>
                <c:pt idx="8">
                  <c:v>180</c:v>
                </c:pt>
                <c:pt idx="9">
                  <c:v>240</c:v>
                </c:pt>
                <c:pt idx="10">
                  <c:v>300</c:v>
                </c:pt>
                <c:pt idx="11">
                  <c:v>360</c:v>
                </c:pt>
              </c:numCache>
            </c:numRef>
          </c:xVal>
          <c:yVal>
            <c:numRef>
              <c:f>AE!$G$15:$G$26</c:f>
              <c:numCache>
                <c:formatCode>0.00</c:formatCode>
                <c:ptCount val="12"/>
                <c:pt idx="0">
                  <c:v>0</c:v>
                </c:pt>
                <c:pt idx="1">
                  <c:v>10.14239590182436</c:v>
                </c:pt>
                <c:pt idx="2">
                  <c:v>27.663666964347051</c:v>
                </c:pt>
                <c:pt idx="3">
                  <c:v>32.866858359748377</c:v>
                </c:pt>
                <c:pt idx="4">
                  <c:v>53.215438816867689</c:v>
                </c:pt>
                <c:pt idx="5">
                  <c:v>71.462919165055595</c:v>
                </c:pt>
                <c:pt idx="6">
                  <c:v>78.932079804512298</c:v>
                </c:pt>
                <c:pt idx="7">
                  <c:v>85.593577954641347</c:v>
                </c:pt>
                <c:pt idx="8">
                  <c:v>91.582841833580304</c:v>
                </c:pt>
                <c:pt idx="9">
                  <c:v>96.495549514715549</c:v>
                </c:pt>
                <c:pt idx="10">
                  <c:v>98.614314173838792</c:v>
                </c:pt>
                <c:pt idx="11">
                  <c:v>99.496560319532094</c:v>
                </c:pt>
              </c:numCache>
            </c:numRef>
          </c:yVal>
          <c:smooth val="0"/>
          <c:extLst>
            <c:ext xmlns:c16="http://schemas.microsoft.com/office/drawing/2014/chart" uri="{C3380CC4-5D6E-409C-BE32-E72D297353CC}">
              <c16:uniqueId val="{00000001-43F2-4765-BE0A-1329BFEAB5DD}"/>
            </c:ext>
          </c:extLst>
        </c:ser>
        <c:ser>
          <c:idx val="2"/>
          <c:order val="2"/>
          <c:tx>
            <c:v>OA + fibra MOF-Fe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02-43F2-4765-BE0A-1329BFEAB5DD}"/>
            </c:ext>
          </c:extLst>
        </c:ser>
        <c:ser>
          <c:idx val="3"/>
          <c:order val="3"/>
          <c:tx>
            <c:v>Control OA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AK!$B$15:$B$25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AK!$G$15:$G$25</c:f>
              <c:numCache>
                <c:formatCode>0.00</c:formatCode>
                <c:ptCount val="11"/>
                <c:pt idx="0">
                  <c:v>0</c:v>
                </c:pt>
                <c:pt idx="1">
                  <c:v>4.4869561851679691</c:v>
                </c:pt>
                <c:pt idx="2">
                  <c:v>11.707501161170455</c:v>
                </c:pt>
                <c:pt idx="3">
                  <c:v>21.122658306239344</c:v>
                </c:pt>
                <c:pt idx="4">
                  <c:v>35.922743458739738</c:v>
                </c:pt>
                <c:pt idx="5">
                  <c:v>55.769081901223096</c:v>
                </c:pt>
                <c:pt idx="6">
                  <c:v>61.060148629818855</c:v>
                </c:pt>
                <c:pt idx="7">
                  <c:v>71.408112710945971</c:v>
                </c:pt>
                <c:pt idx="8">
                  <c:v>79.084417092429163</c:v>
                </c:pt>
                <c:pt idx="9">
                  <c:v>87.380980027868091</c:v>
                </c:pt>
                <c:pt idx="10">
                  <c:v>92.820095990091346</c:v>
                </c:pt>
              </c:numCache>
            </c:numRef>
          </c:yVal>
          <c:smooth val="0"/>
          <c:extLst>
            <c:ext xmlns:c16="http://schemas.microsoft.com/office/drawing/2014/chart" uri="{C3380CC4-5D6E-409C-BE32-E72D297353CC}">
              <c16:uniqueId val="{00000001-B70F-4BD7-ADA9-4821BC2997F9}"/>
            </c:ext>
          </c:extLst>
        </c:ser>
        <c:ser>
          <c:idx val="4"/>
          <c:order val="4"/>
          <c:tx>
            <c:v>EF con 2mM PMS</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AJ!$B$17:$B$27</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AJ!$G$17:$G$27</c:f>
              <c:numCache>
                <c:formatCode>0.00</c:formatCode>
                <c:ptCount val="11"/>
                <c:pt idx="0">
                  <c:v>0</c:v>
                </c:pt>
                <c:pt idx="1">
                  <c:v>28.060086844267108</c:v>
                </c:pt>
                <c:pt idx="2">
                  <c:v>40.224152094824561</c:v>
                </c:pt>
                <c:pt idx="3">
                  <c:v>54.781324570668552</c:v>
                </c:pt>
                <c:pt idx="4">
                  <c:v>71.04213120525759</c:v>
                </c:pt>
                <c:pt idx="5">
                  <c:v>79.925087039862305</c:v>
                </c:pt>
                <c:pt idx="6">
                  <c:v>86.323983882955829</c:v>
                </c:pt>
                <c:pt idx="7">
                  <c:v>90.861792434377804</c:v>
                </c:pt>
                <c:pt idx="8">
                  <c:v>96.212299025935934</c:v>
                </c:pt>
                <c:pt idx="9">
                  <c:v>98.498806869303309</c:v>
                </c:pt>
                <c:pt idx="10">
                  <c:v>99.452333450690446</c:v>
                </c:pt>
              </c:numCache>
            </c:numRef>
          </c:yVal>
          <c:smooth val="0"/>
          <c:extLst>
            <c:ext xmlns:c16="http://schemas.microsoft.com/office/drawing/2014/chart" uri="{C3380CC4-5D6E-409C-BE32-E72D297353CC}">
              <c16:uniqueId val="{00000002-B70F-4BD7-ADA9-4821BC2997F9}"/>
            </c:ext>
          </c:extLst>
        </c:ser>
        <c:dLbls>
          <c:showLegendKey val="0"/>
          <c:showVal val="0"/>
          <c:showCatName val="0"/>
          <c:showSerName val="0"/>
          <c:showPercent val="0"/>
          <c:showBubbleSize val="0"/>
        </c:dLbls>
        <c:axId val="2090615760"/>
        <c:axId val="1888591008"/>
      </c:scatterChart>
      <c:valAx>
        <c:axId val="20906157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88591008"/>
        <c:crosses val="autoZero"/>
        <c:crossBetween val="midCat"/>
      </c:valAx>
      <c:valAx>
        <c:axId val="18885910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9061576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10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Control 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0-9B72-437F-BCE6-E327E887D242}"/>
            </c:ext>
          </c:extLst>
        </c:ser>
        <c:ser>
          <c:idx val="1"/>
          <c:order val="1"/>
          <c:tx>
            <c:v>OA + fibra MOF-Fe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1-9B72-437F-BCE6-E327E887D242}"/>
            </c:ext>
          </c:extLst>
        </c:ser>
        <c:ser>
          <c:idx val="2"/>
          <c:order val="2"/>
          <c:tx>
            <c:v>TODO</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02-9B72-437F-BCE6-E327E887D242}"/>
            </c:ext>
          </c:extLst>
        </c:ser>
        <c:dLbls>
          <c:showLegendKey val="0"/>
          <c:showVal val="0"/>
          <c:showCatName val="0"/>
          <c:showSerName val="0"/>
          <c:showPercent val="0"/>
          <c:showBubbleSize val="0"/>
        </c:dLbls>
        <c:axId val="1028909456"/>
        <c:axId val="1026776816"/>
      </c:scatterChart>
      <c:valAx>
        <c:axId val="10289094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26776816"/>
        <c:crosses val="autoZero"/>
        <c:crossBetween val="midCat"/>
      </c:valAx>
      <c:valAx>
        <c:axId val="1026776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2890945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OA 10, 25 y 50 ppm</a:t>
            </a:r>
            <a:r>
              <a:rPr lang="es-ES" baseline="0"/>
              <a:t> todos 25 mA</a:t>
            </a:r>
            <a:endParaRPr lang="es-ES"/>
          </a:p>
        </c:rich>
      </c:tx>
      <c:overlay val="0"/>
      <c:spPr>
        <a:noFill/>
        <a:ln>
          <a:noFill/>
        </a:ln>
        <a:effectLst/>
      </c:spPr>
    </c:title>
    <c:autoTitleDeleted val="0"/>
    <c:plotArea>
      <c:layout/>
      <c:scatterChart>
        <c:scatterStyle val="lineMarker"/>
        <c:varyColors val="0"/>
        <c:ser>
          <c:idx val="0"/>
          <c:order val="0"/>
          <c:tx>
            <c:v>Control OA</c:v>
          </c:tx>
          <c:xVal>
            <c:numRef>
              <c:f>'R'!$B$15:$B$25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'R'!$G$15:$G$25</c:f>
              <c:numCache>
                <c:formatCode>0.00</c:formatCode>
                <c:ptCount val="11"/>
                <c:pt idx="0">
                  <c:v>0</c:v>
                </c:pt>
                <c:pt idx="1">
                  <c:v>6.4092823762693234</c:v>
                </c:pt>
                <c:pt idx="2">
                  <c:v>16.366289334799916</c:v>
                </c:pt>
                <c:pt idx="3">
                  <c:v>28.934807961316572</c:v>
                </c:pt>
                <c:pt idx="4">
                  <c:v>49.854620155358006</c:v>
                </c:pt>
                <c:pt idx="5">
                  <c:v>65.189084043570276</c:v>
                </c:pt>
                <c:pt idx="6">
                  <c:v>76.724085542953731</c:v>
                </c:pt>
                <c:pt idx="7">
                  <c:v>84.871447570067133</c:v>
                </c:pt>
                <c:pt idx="8">
                  <c:v>89.38170047353357</c:v>
                </c:pt>
                <c:pt idx="9">
                  <c:v>93.032669022257082</c:v>
                </c:pt>
                <c:pt idx="10">
                  <c:v>95.669919622528056</c:v>
                </c:pt>
              </c:numCache>
            </c:numRef>
          </c:yVal>
          <c:smooth val="0"/>
          <c:extLst>
            <c:ext xmlns:c16="http://schemas.microsoft.com/office/drawing/2014/chart" uri="{C3380CC4-5D6E-409C-BE32-E72D297353CC}">
              <c16:uniqueId val="{00000031-0985-4600-BB47-BFC60C38D5A6}"/>
            </c:ext>
          </c:extLst>
        </c:ser>
        <c:ser>
          <c:idx val="1"/>
          <c:order val="1"/>
          <c:tx>
            <c:v>Control OA</c:v>
          </c:tx>
          <c:spPr>
            <a:ln w="19050" cap="rnd">
              <a:solidFill>
                <a:schemeClr val="accent2"/>
              </a:solidFill>
              <a:round/>
            </a:ln>
            <a:effectLst/>
          </c:spPr>
          <c:xVal>
            <c:numRef>
              <c:f>AE!$B$15:$B$26</c:f>
              <c:numCache>
                <c:formatCode>General</c:formatCode>
                <c:ptCount val="12"/>
                <c:pt idx="0">
                  <c:v>0</c:v>
                </c:pt>
                <c:pt idx="1">
                  <c:v>5</c:v>
                </c:pt>
                <c:pt idx="2">
                  <c:v>22</c:v>
                </c:pt>
                <c:pt idx="3">
                  <c:v>32</c:v>
                </c:pt>
                <c:pt idx="4">
                  <c:v>60</c:v>
                </c:pt>
                <c:pt idx="5">
                  <c:v>100</c:v>
                </c:pt>
                <c:pt idx="6">
                  <c:v>120</c:v>
                </c:pt>
                <c:pt idx="7">
                  <c:v>150</c:v>
                </c:pt>
                <c:pt idx="8">
                  <c:v>180</c:v>
                </c:pt>
                <c:pt idx="9">
                  <c:v>240</c:v>
                </c:pt>
                <c:pt idx="10">
                  <c:v>300</c:v>
                </c:pt>
                <c:pt idx="11">
                  <c:v>360</c:v>
                </c:pt>
              </c:numCache>
            </c:numRef>
          </c:xVal>
          <c:yVal>
            <c:numRef>
              <c:f>AE!$G$15:$G$26</c:f>
              <c:numCache>
                <c:formatCode>0.00</c:formatCode>
                <c:ptCount val="12"/>
                <c:pt idx="0">
                  <c:v>0</c:v>
                </c:pt>
                <c:pt idx="1">
                  <c:v>10.14239590182436</c:v>
                </c:pt>
                <c:pt idx="2">
                  <c:v>27.663666964347051</c:v>
                </c:pt>
                <c:pt idx="3">
                  <c:v>32.866858359748377</c:v>
                </c:pt>
                <c:pt idx="4">
                  <c:v>53.215438816867689</c:v>
                </c:pt>
                <c:pt idx="5">
                  <c:v>71.462919165055595</c:v>
                </c:pt>
                <c:pt idx="6">
                  <c:v>78.932079804512298</c:v>
                </c:pt>
                <c:pt idx="7">
                  <c:v>85.593577954641347</c:v>
                </c:pt>
                <c:pt idx="8">
                  <c:v>91.582841833580304</c:v>
                </c:pt>
                <c:pt idx="9">
                  <c:v>96.495549514715549</c:v>
                </c:pt>
                <c:pt idx="10">
                  <c:v>98.614314173838792</c:v>
                </c:pt>
                <c:pt idx="11">
                  <c:v>99.496560319532094</c:v>
                </c:pt>
              </c:numCache>
            </c:numRef>
          </c:yVal>
          <c:smooth val="0"/>
          <c:extLst>
            <c:ext xmlns:c16="http://schemas.microsoft.com/office/drawing/2014/chart" uri="{C3380CC4-5D6E-409C-BE32-E72D297353CC}">
              <c16:uniqueId val="{00000032-0985-4600-BB47-BFC60C38D5A6}"/>
            </c:ext>
          </c:extLst>
        </c:ser>
        <c:ser>
          <c:idx val="3"/>
          <c:order val="2"/>
          <c:tx>
            <c:v>Control OA 25mA</c:v>
          </c:tx>
          <c:spPr>
            <a:ln w="19050" cap="rnd">
              <a:solidFill>
                <a:schemeClr val="accent2"/>
              </a:solidFill>
              <a:round/>
            </a:ln>
            <a:effectLst/>
          </c:spP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33-0985-4600-BB47-BFC60C38D5A6}"/>
            </c:ext>
          </c:extLst>
        </c:ser>
        <c:dLbls>
          <c:showLegendKey val="0"/>
          <c:showVal val="0"/>
          <c:showCatName val="0"/>
          <c:showSerName val="0"/>
          <c:showPercent val="0"/>
          <c:showBubbleSize val="0"/>
        </c:dLbls>
        <c:axId val="2090615760"/>
        <c:axId val="1888591008"/>
        <c:extLst/>
      </c:scatterChart>
      <c:valAx>
        <c:axId val="20906157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88591008"/>
        <c:crosses val="autoZero"/>
        <c:crossBetween val="midCat"/>
      </c:valAx>
      <c:valAx>
        <c:axId val="18885910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90615760"/>
        <c:crosses val="autoZero"/>
        <c:crossBetween val="midCat"/>
        <c:majorUnit val="20"/>
      </c:valAx>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extLst/>
  </c:chart>
  <c:txPr>
    <a:bodyPr/>
    <a:lstStyle/>
    <a:p>
      <a:pPr>
        <a:defRPr/>
      </a:pPr>
      <a:endParaRPr lang="es-E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FF78-4D58-8B90-A999C966A8CD}"/>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FF78-4D58-8B90-A999C966A8CD}"/>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FF78-4D58-8B90-A999C966A8CD}"/>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strRef>
              <c:f>J!#REF!</c:f>
              <c:strCache>
                <c:ptCount val="1"/>
                <c:pt idx="0">
                  <c:v>#¡REF!</c:v>
                </c:pt>
              </c:strCache>
            </c:strRef>
          </c:xVal>
          <c:yVal>
            <c:numRef>
              <c:f>J!#REF!</c:f>
              <c:numCache>
                <c:formatCode>General</c:formatCode>
                <c:ptCount val="1"/>
                <c:pt idx="0">
                  <c:v>1</c:v>
                </c:pt>
              </c:numCache>
            </c:numRef>
          </c:yVal>
          <c:smooth val="0"/>
          <c:extLst>
            <c:ext xmlns:c16="http://schemas.microsoft.com/office/drawing/2014/chart" uri="{C3380CC4-5D6E-409C-BE32-E72D297353CC}">
              <c16:uniqueId val="{00000003-FF78-4D58-8B90-A999C966A8CD}"/>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50 ppm</a:t>
            </a:r>
          </a:p>
        </c:rich>
      </c:tx>
      <c:overlay val="0"/>
      <c:spPr>
        <a:noFill/>
        <a:ln>
          <a:noFill/>
        </a:ln>
        <a:effectLst/>
      </c:spPr>
    </c:title>
    <c:autoTitleDeleted val="0"/>
    <c:plotArea>
      <c:layout/>
      <c:scatterChart>
        <c:scatterStyle val="lineMarker"/>
        <c:varyColors val="0"/>
        <c:ser>
          <c:idx val="6"/>
          <c:order val="0"/>
          <c:tx>
            <c:v>OA + fibra MOF-Fe</c:v>
          </c:tx>
          <c:xVal>
            <c:numRef>
              <c:f>S!$B$15:$B$25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S!$G$15:$G$25</c:f>
              <c:numCache>
                <c:formatCode>0.00</c:formatCode>
                <c:ptCount val="11"/>
                <c:pt idx="0">
                  <c:v>0</c:v>
                </c:pt>
                <c:pt idx="1">
                  <c:v>7.6691491047377491</c:v>
                </c:pt>
                <c:pt idx="2">
                  <c:v>16.883219774996046</c:v>
                </c:pt>
                <c:pt idx="3">
                  <c:v>32.778085881793686</c:v>
                </c:pt>
                <c:pt idx="4">
                  <c:v>61.115512597052756</c:v>
                </c:pt>
                <c:pt idx="5">
                  <c:v>75.493186499762317</c:v>
                </c:pt>
                <c:pt idx="6">
                  <c:v>81.296545713832998</c:v>
                </c:pt>
                <c:pt idx="7">
                  <c:v>85.014260814450964</c:v>
                </c:pt>
                <c:pt idx="8">
                  <c:v>90.409602281730301</c:v>
                </c:pt>
                <c:pt idx="9">
                  <c:v>89.738155601331002</c:v>
                </c:pt>
                <c:pt idx="10">
                  <c:v>93.687608936777053</c:v>
                </c:pt>
              </c:numCache>
            </c:numRef>
          </c:yVal>
          <c:smooth val="0"/>
          <c:extLst>
            <c:ext xmlns:c16="http://schemas.microsoft.com/office/drawing/2014/chart" uri="{C3380CC4-5D6E-409C-BE32-E72D297353CC}">
              <c16:uniqueId val="{0000002B-4597-49EA-A4A3-7223628EC118}"/>
            </c:ext>
          </c:extLst>
        </c:ser>
        <c:ser>
          <c:idx val="2"/>
          <c:order val="1"/>
          <c:tx>
            <c:v>OA + fibra MOF-Fe</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22-4597-49EA-A4A3-7223628EC118}"/>
            </c:ext>
          </c:extLst>
        </c:ser>
        <c:dLbls>
          <c:showLegendKey val="0"/>
          <c:showVal val="0"/>
          <c:showCatName val="0"/>
          <c:showSerName val="0"/>
          <c:showPercent val="0"/>
          <c:showBubbleSize val="0"/>
        </c:dLbls>
        <c:axId val="2090615760"/>
        <c:axId val="1888591008"/>
        <c:extLst/>
      </c:scatterChart>
      <c:valAx>
        <c:axId val="20906157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88591008"/>
        <c:crosses val="autoZero"/>
        <c:crossBetween val="midCat"/>
      </c:valAx>
      <c:valAx>
        <c:axId val="18885910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90615760"/>
        <c:crosses val="autoZero"/>
        <c:crossBetween val="midCat"/>
        <c:majorUnit val="20"/>
      </c:valAx>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extLst/>
  </c:chart>
  <c:txPr>
    <a:bodyPr/>
    <a:lstStyle/>
    <a:p>
      <a:pPr>
        <a:defRPr/>
      </a:pPr>
      <a:endParaRPr lang="es-ES"/>
    </a:p>
  </c:txPr>
  <c:printSettings>
    <c:headerFooter/>
    <c:pageMargins b="0.75" l="0.7" r="0.7" t="0.75" header="0.3" footer="0.3"/>
    <c:pageSetup/>
  </c:printSettings>
</c:chartSpace>
</file>

<file path=xl/charts/chart1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Todos Exp 50 ppm SMX 25 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 con aire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AE!$B$15:$B$26</c:f>
              <c:numCache>
                <c:formatCode>General</c:formatCode>
                <c:ptCount val="12"/>
                <c:pt idx="0">
                  <c:v>0</c:v>
                </c:pt>
                <c:pt idx="1">
                  <c:v>5</c:v>
                </c:pt>
                <c:pt idx="2">
                  <c:v>22</c:v>
                </c:pt>
                <c:pt idx="3">
                  <c:v>32</c:v>
                </c:pt>
                <c:pt idx="4">
                  <c:v>60</c:v>
                </c:pt>
                <c:pt idx="5">
                  <c:v>100</c:v>
                </c:pt>
                <c:pt idx="6">
                  <c:v>120</c:v>
                </c:pt>
                <c:pt idx="7">
                  <c:v>150</c:v>
                </c:pt>
                <c:pt idx="8">
                  <c:v>180</c:v>
                </c:pt>
                <c:pt idx="9">
                  <c:v>240</c:v>
                </c:pt>
                <c:pt idx="10">
                  <c:v>300</c:v>
                </c:pt>
                <c:pt idx="11">
                  <c:v>360</c:v>
                </c:pt>
              </c:numCache>
            </c:numRef>
          </c:xVal>
          <c:yVal>
            <c:numRef>
              <c:f>AE!$G$15:$G$26</c:f>
              <c:numCache>
                <c:formatCode>0.00</c:formatCode>
                <c:ptCount val="12"/>
                <c:pt idx="0">
                  <c:v>0</c:v>
                </c:pt>
                <c:pt idx="1">
                  <c:v>10.14239590182436</c:v>
                </c:pt>
                <c:pt idx="2">
                  <c:v>27.663666964347051</c:v>
                </c:pt>
                <c:pt idx="3">
                  <c:v>32.866858359748377</c:v>
                </c:pt>
                <c:pt idx="4">
                  <c:v>53.215438816867689</c:v>
                </c:pt>
                <c:pt idx="5">
                  <c:v>71.462919165055595</c:v>
                </c:pt>
                <c:pt idx="6">
                  <c:v>78.932079804512298</c:v>
                </c:pt>
                <c:pt idx="7">
                  <c:v>85.593577954641347</c:v>
                </c:pt>
                <c:pt idx="8">
                  <c:v>91.582841833580304</c:v>
                </c:pt>
                <c:pt idx="9">
                  <c:v>96.495549514715549</c:v>
                </c:pt>
                <c:pt idx="10">
                  <c:v>98.614314173838792</c:v>
                </c:pt>
                <c:pt idx="11">
                  <c:v>99.496560319532094</c:v>
                </c:pt>
              </c:numCache>
            </c:numRef>
          </c:yVal>
          <c:smooth val="0"/>
          <c:extLst>
            <c:ext xmlns:c16="http://schemas.microsoft.com/office/drawing/2014/chart" uri="{C3380CC4-5D6E-409C-BE32-E72D297353CC}">
              <c16:uniqueId val="{00000000-494E-46E2-BF2F-07ADA89F93F2}"/>
            </c:ext>
          </c:extLst>
        </c:ser>
        <c:ser>
          <c:idx val="1"/>
          <c:order val="1"/>
          <c:tx>
            <c:v>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AL!$G$15:$G$25</c:f>
              <c:numCache>
                <c:formatCode>0.00</c:formatCode>
                <c:ptCount val="11"/>
                <c:pt idx="0">
                  <c:v>0</c:v>
                </c:pt>
                <c:pt idx="1">
                  <c:v>5.2249930275723564</c:v>
                </c:pt>
                <c:pt idx="2">
                  <c:v>9.8489147055712234</c:v>
                </c:pt>
                <c:pt idx="3">
                  <c:v>20.019041940354501</c:v>
                </c:pt>
                <c:pt idx="4">
                  <c:v>26.749117627258833</c:v>
                </c:pt>
                <c:pt idx="5">
                  <c:v>36.340292938132933</c:v>
                </c:pt>
                <c:pt idx="6">
                  <c:v>51.407468672161272</c:v>
                </c:pt>
                <c:pt idx="7">
                  <c:v>57.917311816581872</c:v>
                </c:pt>
                <c:pt idx="8">
                  <c:v>65.557169098200632</c:v>
                </c:pt>
                <c:pt idx="9">
                  <c:v>78.649945663150007</c:v>
                </c:pt>
                <c:pt idx="10">
                  <c:v>83.491214741154636</c:v>
                </c:pt>
              </c:numCache>
            </c:numRef>
          </c:yVal>
          <c:smooth val="0"/>
          <c:extLst>
            <c:ext xmlns:c16="http://schemas.microsoft.com/office/drawing/2014/chart" uri="{C3380CC4-5D6E-409C-BE32-E72D297353CC}">
              <c16:uniqueId val="{00000001-494E-46E2-BF2F-07ADA89F93F2}"/>
            </c:ext>
          </c:extLst>
        </c:ser>
        <c:ser>
          <c:idx val="2"/>
          <c:order val="2"/>
          <c:tx>
            <c:v>EF</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02-494E-46E2-BF2F-07ADA89F93F2}"/>
            </c:ext>
          </c:extLst>
        </c:ser>
        <c:ser>
          <c:idx val="3"/>
          <c:order val="3"/>
          <c:tx>
            <c:v>EF + H2O2</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AH!$B$15:$B$19</c:f>
              <c:numCache>
                <c:formatCode>General</c:formatCode>
                <c:ptCount val="5"/>
                <c:pt idx="0">
                  <c:v>0</c:v>
                </c:pt>
                <c:pt idx="1">
                  <c:v>10</c:v>
                </c:pt>
                <c:pt idx="2">
                  <c:v>30</c:v>
                </c:pt>
                <c:pt idx="3">
                  <c:v>60</c:v>
                </c:pt>
                <c:pt idx="4">
                  <c:v>90</c:v>
                </c:pt>
              </c:numCache>
            </c:numRef>
          </c:xVal>
          <c:yVal>
            <c:numRef>
              <c:f>AH!$G$15:$G$19</c:f>
              <c:numCache>
                <c:formatCode>0.00</c:formatCode>
                <c:ptCount val="5"/>
                <c:pt idx="0">
                  <c:v>0</c:v>
                </c:pt>
                <c:pt idx="1">
                  <c:v>19.90945411277605</c:v>
                </c:pt>
                <c:pt idx="2">
                  <c:v>37.935437686823434</c:v>
                </c:pt>
                <c:pt idx="3">
                  <c:v>56.654058603310339</c:v>
                </c:pt>
                <c:pt idx="4">
                  <c:v>84.934170431350537</c:v>
                </c:pt>
              </c:numCache>
            </c:numRef>
          </c:yVal>
          <c:smooth val="0"/>
          <c:extLst>
            <c:ext xmlns:c16="http://schemas.microsoft.com/office/drawing/2014/chart" uri="{C3380CC4-5D6E-409C-BE32-E72D297353CC}">
              <c16:uniqueId val="{00000003-494E-46E2-BF2F-07ADA89F93F2}"/>
            </c:ext>
          </c:extLst>
        </c:ser>
        <c:ser>
          <c:idx val="4"/>
          <c:order val="4"/>
          <c:tx>
            <c:v>EF + 1mM PMS</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AI!$B$15:$B$26</c:f>
              <c:numCache>
                <c:formatCode>General</c:formatCode>
                <c:ptCount val="12"/>
                <c:pt idx="0">
                  <c:v>0</c:v>
                </c:pt>
                <c:pt idx="1">
                  <c:v>5</c:v>
                </c:pt>
                <c:pt idx="2">
                  <c:v>15</c:v>
                </c:pt>
                <c:pt idx="3">
                  <c:v>30</c:v>
                </c:pt>
                <c:pt idx="4">
                  <c:v>60</c:v>
                </c:pt>
                <c:pt idx="5">
                  <c:v>90</c:v>
                </c:pt>
                <c:pt idx="6">
                  <c:v>120</c:v>
                </c:pt>
                <c:pt idx="7">
                  <c:v>150</c:v>
                </c:pt>
                <c:pt idx="8">
                  <c:v>180</c:v>
                </c:pt>
                <c:pt idx="9">
                  <c:v>246</c:v>
                </c:pt>
                <c:pt idx="10">
                  <c:v>300</c:v>
                </c:pt>
                <c:pt idx="11">
                  <c:v>360</c:v>
                </c:pt>
              </c:numCache>
            </c:numRef>
          </c:xVal>
          <c:yVal>
            <c:numRef>
              <c:f>AI!$G$15:$G$26</c:f>
              <c:numCache>
                <c:formatCode>0.00</c:formatCode>
                <c:ptCount val="12"/>
                <c:pt idx="0">
                  <c:v>0</c:v>
                </c:pt>
                <c:pt idx="1">
                  <c:v>18.115516397454719</c:v>
                </c:pt>
                <c:pt idx="2">
                  <c:v>30.887909936368086</c:v>
                </c:pt>
                <c:pt idx="3">
                  <c:v>45.517376407244249</c:v>
                </c:pt>
                <c:pt idx="4">
                  <c:v>64.470876162506116</c:v>
                </c:pt>
                <c:pt idx="5">
                  <c:v>76.98286833088595</c:v>
                </c:pt>
                <c:pt idx="6">
                  <c:v>84.967205090553108</c:v>
                </c:pt>
                <c:pt idx="7">
                  <c:v>90.160548213411644</c:v>
                </c:pt>
                <c:pt idx="8">
                  <c:v>93.744493392070481</c:v>
                </c:pt>
                <c:pt idx="9">
                  <c:v>97.455702398433672</c:v>
                </c:pt>
                <c:pt idx="10">
                  <c:v>98.9270680372002</c:v>
                </c:pt>
                <c:pt idx="11">
                  <c:v>99.477239353891335</c:v>
                </c:pt>
              </c:numCache>
            </c:numRef>
          </c:yVal>
          <c:smooth val="0"/>
          <c:extLst>
            <c:ext xmlns:c16="http://schemas.microsoft.com/office/drawing/2014/chart" uri="{C3380CC4-5D6E-409C-BE32-E72D297353CC}">
              <c16:uniqueId val="{00000004-494E-46E2-BF2F-07ADA89F93F2}"/>
            </c:ext>
          </c:extLst>
        </c:ser>
        <c:ser>
          <c:idx val="5"/>
          <c:order val="5"/>
          <c:tx>
            <c:v>EF + 2 mM PMS</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AJ!$B$17:$B$27</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AJ!$G$17:$G$27</c:f>
              <c:numCache>
                <c:formatCode>0.00</c:formatCode>
                <c:ptCount val="11"/>
                <c:pt idx="0">
                  <c:v>0</c:v>
                </c:pt>
                <c:pt idx="1">
                  <c:v>28.060086844267108</c:v>
                </c:pt>
                <c:pt idx="2">
                  <c:v>40.224152094824561</c:v>
                </c:pt>
                <c:pt idx="3">
                  <c:v>54.781324570668552</c:v>
                </c:pt>
                <c:pt idx="4">
                  <c:v>71.04213120525759</c:v>
                </c:pt>
                <c:pt idx="5">
                  <c:v>79.925087039862305</c:v>
                </c:pt>
                <c:pt idx="6">
                  <c:v>86.323983882955829</c:v>
                </c:pt>
                <c:pt idx="7">
                  <c:v>90.861792434377804</c:v>
                </c:pt>
                <c:pt idx="8">
                  <c:v>96.212299025935934</c:v>
                </c:pt>
                <c:pt idx="9">
                  <c:v>98.498806869303309</c:v>
                </c:pt>
                <c:pt idx="10">
                  <c:v>99.452333450690446</c:v>
                </c:pt>
              </c:numCache>
            </c:numRef>
          </c:yVal>
          <c:smooth val="0"/>
          <c:extLst>
            <c:ext xmlns:c16="http://schemas.microsoft.com/office/drawing/2014/chart" uri="{C3380CC4-5D6E-409C-BE32-E72D297353CC}">
              <c16:uniqueId val="{00000005-494E-46E2-BF2F-07ADA89F93F2}"/>
            </c:ext>
          </c:extLst>
        </c:ser>
        <c:dLbls>
          <c:showLegendKey val="0"/>
          <c:showVal val="0"/>
          <c:showCatName val="0"/>
          <c:showSerName val="0"/>
          <c:showPercent val="0"/>
          <c:showBubbleSize val="0"/>
        </c:dLbls>
        <c:axId val="1535816175"/>
        <c:axId val="1719814767"/>
      </c:scatterChart>
      <c:valAx>
        <c:axId val="1535816175"/>
        <c:scaling>
          <c:orientation val="minMax"/>
          <c:max val="3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19814767"/>
        <c:crosses val="autoZero"/>
        <c:crossBetween val="midCat"/>
      </c:valAx>
      <c:valAx>
        <c:axId val="17198147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3581617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OA 50 ppm SMX 25 mA con y sin aire</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 con aire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AE!$B$15:$B$26</c:f>
              <c:numCache>
                <c:formatCode>General</c:formatCode>
                <c:ptCount val="12"/>
                <c:pt idx="0">
                  <c:v>0</c:v>
                </c:pt>
                <c:pt idx="1">
                  <c:v>5</c:v>
                </c:pt>
                <c:pt idx="2">
                  <c:v>22</c:v>
                </c:pt>
                <c:pt idx="3">
                  <c:v>32</c:v>
                </c:pt>
                <c:pt idx="4">
                  <c:v>60</c:v>
                </c:pt>
                <c:pt idx="5">
                  <c:v>100</c:v>
                </c:pt>
                <c:pt idx="6">
                  <c:v>120</c:v>
                </c:pt>
                <c:pt idx="7">
                  <c:v>150</c:v>
                </c:pt>
                <c:pt idx="8">
                  <c:v>180</c:v>
                </c:pt>
                <c:pt idx="9">
                  <c:v>240</c:v>
                </c:pt>
                <c:pt idx="10">
                  <c:v>300</c:v>
                </c:pt>
                <c:pt idx="11">
                  <c:v>360</c:v>
                </c:pt>
              </c:numCache>
            </c:numRef>
          </c:xVal>
          <c:yVal>
            <c:numRef>
              <c:f>AE!$G$15:$G$26</c:f>
              <c:numCache>
                <c:formatCode>0.00</c:formatCode>
                <c:ptCount val="12"/>
                <c:pt idx="0">
                  <c:v>0</c:v>
                </c:pt>
                <c:pt idx="1">
                  <c:v>10.14239590182436</c:v>
                </c:pt>
                <c:pt idx="2">
                  <c:v>27.663666964347051</c:v>
                </c:pt>
                <c:pt idx="3">
                  <c:v>32.866858359748377</c:v>
                </c:pt>
                <c:pt idx="4">
                  <c:v>53.215438816867689</c:v>
                </c:pt>
                <c:pt idx="5">
                  <c:v>71.462919165055595</c:v>
                </c:pt>
                <c:pt idx="6">
                  <c:v>78.932079804512298</c:v>
                </c:pt>
                <c:pt idx="7">
                  <c:v>85.593577954641347</c:v>
                </c:pt>
                <c:pt idx="8">
                  <c:v>91.582841833580304</c:v>
                </c:pt>
                <c:pt idx="9">
                  <c:v>96.495549514715549</c:v>
                </c:pt>
                <c:pt idx="10">
                  <c:v>98.614314173838792</c:v>
                </c:pt>
                <c:pt idx="11">
                  <c:v>99.496560319532094</c:v>
                </c:pt>
              </c:numCache>
            </c:numRef>
          </c:yVal>
          <c:smooth val="0"/>
          <c:extLst>
            <c:ext xmlns:c16="http://schemas.microsoft.com/office/drawing/2014/chart" uri="{C3380CC4-5D6E-409C-BE32-E72D297353CC}">
              <c16:uniqueId val="{00000000-5592-4410-8C4D-B4EC7CF83284}"/>
            </c:ext>
          </c:extLst>
        </c:ser>
        <c:ser>
          <c:idx val="1"/>
          <c:order val="1"/>
          <c:tx>
            <c:v>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AL!$G$15:$G$25</c:f>
              <c:numCache>
                <c:formatCode>0.00</c:formatCode>
                <c:ptCount val="11"/>
                <c:pt idx="0">
                  <c:v>0</c:v>
                </c:pt>
                <c:pt idx="1">
                  <c:v>5.2249930275723564</c:v>
                </c:pt>
                <c:pt idx="2">
                  <c:v>9.8489147055712234</c:v>
                </c:pt>
                <c:pt idx="3">
                  <c:v>20.019041940354501</c:v>
                </c:pt>
                <c:pt idx="4">
                  <c:v>26.749117627258833</c:v>
                </c:pt>
                <c:pt idx="5">
                  <c:v>36.340292938132933</c:v>
                </c:pt>
                <c:pt idx="6">
                  <c:v>51.407468672161272</c:v>
                </c:pt>
                <c:pt idx="7">
                  <c:v>57.917311816581872</c:v>
                </c:pt>
                <c:pt idx="8">
                  <c:v>65.557169098200632</c:v>
                </c:pt>
                <c:pt idx="9">
                  <c:v>78.649945663150007</c:v>
                </c:pt>
                <c:pt idx="10">
                  <c:v>83.491214741154636</c:v>
                </c:pt>
              </c:numCache>
            </c:numRef>
          </c:yVal>
          <c:smooth val="0"/>
          <c:extLst>
            <c:ext xmlns:c16="http://schemas.microsoft.com/office/drawing/2014/chart" uri="{C3380CC4-5D6E-409C-BE32-E72D297353CC}">
              <c16:uniqueId val="{00000001-5592-4410-8C4D-B4EC7CF83284}"/>
            </c:ext>
          </c:extLst>
        </c:ser>
        <c:dLbls>
          <c:showLegendKey val="0"/>
          <c:showVal val="0"/>
          <c:showCatName val="0"/>
          <c:showSerName val="0"/>
          <c:showPercent val="0"/>
          <c:showBubbleSize val="0"/>
        </c:dLbls>
        <c:axId val="1535816175"/>
        <c:axId val="1719814767"/>
      </c:scatterChart>
      <c:valAx>
        <c:axId val="1535816175"/>
        <c:scaling>
          <c:orientation val="minMax"/>
          <c:max val="3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19814767"/>
        <c:crosses val="autoZero"/>
        <c:crossBetween val="midCat"/>
      </c:valAx>
      <c:valAx>
        <c:axId val="17198147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3581617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OA y EF 50 ppm SMX 25 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1"/>
          <c:order val="0"/>
          <c:tx>
            <c:v>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AL!$G$15:$G$25</c:f>
              <c:numCache>
                <c:formatCode>0.00</c:formatCode>
                <c:ptCount val="11"/>
                <c:pt idx="0">
                  <c:v>0</c:v>
                </c:pt>
                <c:pt idx="1">
                  <c:v>5.2249930275723564</c:v>
                </c:pt>
                <c:pt idx="2">
                  <c:v>9.8489147055712234</c:v>
                </c:pt>
                <c:pt idx="3">
                  <c:v>20.019041940354501</c:v>
                </c:pt>
                <c:pt idx="4">
                  <c:v>26.749117627258833</c:v>
                </c:pt>
                <c:pt idx="5">
                  <c:v>36.340292938132933</c:v>
                </c:pt>
                <c:pt idx="6">
                  <c:v>51.407468672161272</c:v>
                </c:pt>
                <c:pt idx="7">
                  <c:v>57.917311816581872</c:v>
                </c:pt>
                <c:pt idx="8">
                  <c:v>65.557169098200632</c:v>
                </c:pt>
                <c:pt idx="9">
                  <c:v>78.649945663150007</c:v>
                </c:pt>
                <c:pt idx="10">
                  <c:v>83.491214741154636</c:v>
                </c:pt>
              </c:numCache>
            </c:numRef>
          </c:yVal>
          <c:smooth val="0"/>
          <c:extLst>
            <c:ext xmlns:c16="http://schemas.microsoft.com/office/drawing/2014/chart" uri="{C3380CC4-5D6E-409C-BE32-E72D297353CC}">
              <c16:uniqueId val="{00000001-166D-4F86-A509-6506B2577386}"/>
            </c:ext>
          </c:extLst>
        </c:ser>
        <c:ser>
          <c:idx val="2"/>
          <c:order val="1"/>
          <c:tx>
            <c:v>EF</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02-166D-4F86-A509-6506B2577386}"/>
            </c:ext>
          </c:extLst>
        </c:ser>
        <c:dLbls>
          <c:showLegendKey val="0"/>
          <c:showVal val="0"/>
          <c:showCatName val="0"/>
          <c:showSerName val="0"/>
          <c:showPercent val="0"/>
          <c:showBubbleSize val="0"/>
        </c:dLbls>
        <c:axId val="1535816175"/>
        <c:axId val="1719814767"/>
      </c:scatterChart>
      <c:valAx>
        <c:axId val="1535816175"/>
        <c:scaling>
          <c:orientation val="minMax"/>
          <c:max val="3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19814767"/>
        <c:crosses val="autoZero"/>
        <c:crossBetween val="midCat"/>
      </c:valAx>
      <c:valAx>
        <c:axId val="17198147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3581617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Todos Exp 50 ppm SMX 25 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1"/>
          <c:order val="0"/>
          <c:tx>
            <c:v>OA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AL!$G$15:$G$25</c:f>
              <c:numCache>
                <c:formatCode>0.00</c:formatCode>
                <c:ptCount val="11"/>
                <c:pt idx="0">
                  <c:v>0</c:v>
                </c:pt>
                <c:pt idx="1">
                  <c:v>5.2249930275723564</c:v>
                </c:pt>
                <c:pt idx="2">
                  <c:v>9.8489147055712234</c:v>
                </c:pt>
                <c:pt idx="3">
                  <c:v>20.019041940354501</c:v>
                </c:pt>
                <c:pt idx="4">
                  <c:v>26.749117627258833</c:v>
                </c:pt>
                <c:pt idx="5">
                  <c:v>36.340292938132933</c:v>
                </c:pt>
                <c:pt idx="6">
                  <c:v>51.407468672161272</c:v>
                </c:pt>
                <c:pt idx="7">
                  <c:v>57.917311816581872</c:v>
                </c:pt>
                <c:pt idx="8">
                  <c:v>65.557169098200632</c:v>
                </c:pt>
                <c:pt idx="9">
                  <c:v>78.649945663150007</c:v>
                </c:pt>
                <c:pt idx="10">
                  <c:v>83.491214741154636</c:v>
                </c:pt>
              </c:numCache>
            </c:numRef>
          </c:yVal>
          <c:smooth val="0"/>
          <c:extLst>
            <c:ext xmlns:c16="http://schemas.microsoft.com/office/drawing/2014/chart" uri="{C3380CC4-5D6E-409C-BE32-E72D297353CC}">
              <c16:uniqueId val="{00000001-268F-4ECC-8857-3CB8D4EA64EA}"/>
            </c:ext>
          </c:extLst>
        </c:ser>
        <c:ser>
          <c:idx val="2"/>
          <c:order val="1"/>
          <c:tx>
            <c:v>EF</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02-268F-4ECC-8857-3CB8D4EA64EA}"/>
            </c:ext>
          </c:extLst>
        </c:ser>
        <c:ser>
          <c:idx val="4"/>
          <c:order val="2"/>
          <c:tx>
            <c:v>EF + 1mM PMS</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AI!$B$15:$B$26</c:f>
              <c:numCache>
                <c:formatCode>General</c:formatCode>
                <c:ptCount val="12"/>
                <c:pt idx="0">
                  <c:v>0</c:v>
                </c:pt>
                <c:pt idx="1">
                  <c:v>5</c:v>
                </c:pt>
                <c:pt idx="2">
                  <c:v>15</c:v>
                </c:pt>
                <c:pt idx="3">
                  <c:v>30</c:v>
                </c:pt>
                <c:pt idx="4">
                  <c:v>60</c:v>
                </c:pt>
                <c:pt idx="5">
                  <c:v>90</c:v>
                </c:pt>
                <c:pt idx="6">
                  <c:v>120</c:v>
                </c:pt>
                <c:pt idx="7">
                  <c:v>150</c:v>
                </c:pt>
                <c:pt idx="8">
                  <c:v>180</c:v>
                </c:pt>
                <c:pt idx="9">
                  <c:v>246</c:v>
                </c:pt>
                <c:pt idx="10">
                  <c:v>300</c:v>
                </c:pt>
                <c:pt idx="11">
                  <c:v>360</c:v>
                </c:pt>
              </c:numCache>
            </c:numRef>
          </c:xVal>
          <c:yVal>
            <c:numRef>
              <c:f>AI!$G$15:$G$26</c:f>
              <c:numCache>
                <c:formatCode>0.00</c:formatCode>
                <c:ptCount val="12"/>
                <c:pt idx="0">
                  <c:v>0</c:v>
                </c:pt>
                <c:pt idx="1">
                  <c:v>18.115516397454719</c:v>
                </c:pt>
                <c:pt idx="2">
                  <c:v>30.887909936368086</c:v>
                </c:pt>
                <c:pt idx="3">
                  <c:v>45.517376407244249</c:v>
                </c:pt>
                <c:pt idx="4">
                  <c:v>64.470876162506116</c:v>
                </c:pt>
                <c:pt idx="5">
                  <c:v>76.98286833088595</c:v>
                </c:pt>
                <c:pt idx="6">
                  <c:v>84.967205090553108</c:v>
                </c:pt>
                <c:pt idx="7">
                  <c:v>90.160548213411644</c:v>
                </c:pt>
                <c:pt idx="8">
                  <c:v>93.744493392070481</c:v>
                </c:pt>
                <c:pt idx="9">
                  <c:v>97.455702398433672</c:v>
                </c:pt>
                <c:pt idx="10">
                  <c:v>98.9270680372002</c:v>
                </c:pt>
                <c:pt idx="11">
                  <c:v>99.477239353891335</c:v>
                </c:pt>
              </c:numCache>
            </c:numRef>
          </c:yVal>
          <c:smooth val="0"/>
          <c:extLst>
            <c:ext xmlns:c16="http://schemas.microsoft.com/office/drawing/2014/chart" uri="{C3380CC4-5D6E-409C-BE32-E72D297353CC}">
              <c16:uniqueId val="{00000004-268F-4ECC-8857-3CB8D4EA64EA}"/>
            </c:ext>
          </c:extLst>
        </c:ser>
        <c:ser>
          <c:idx val="5"/>
          <c:order val="3"/>
          <c:tx>
            <c:v>EF + 2 mM PMS</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AJ!$B$17:$B$27</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AJ!$G$17:$G$27</c:f>
              <c:numCache>
                <c:formatCode>0.00</c:formatCode>
                <c:ptCount val="11"/>
                <c:pt idx="0">
                  <c:v>0</c:v>
                </c:pt>
                <c:pt idx="1">
                  <c:v>28.060086844267108</c:v>
                </c:pt>
                <c:pt idx="2">
                  <c:v>40.224152094824561</c:v>
                </c:pt>
                <c:pt idx="3">
                  <c:v>54.781324570668552</c:v>
                </c:pt>
                <c:pt idx="4">
                  <c:v>71.04213120525759</c:v>
                </c:pt>
                <c:pt idx="5">
                  <c:v>79.925087039862305</c:v>
                </c:pt>
                <c:pt idx="6">
                  <c:v>86.323983882955829</c:v>
                </c:pt>
                <c:pt idx="7">
                  <c:v>90.861792434377804</c:v>
                </c:pt>
                <c:pt idx="8">
                  <c:v>96.212299025935934</c:v>
                </c:pt>
                <c:pt idx="9">
                  <c:v>98.498806869303309</c:v>
                </c:pt>
                <c:pt idx="10">
                  <c:v>99.452333450690446</c:v>
                </c:pt>
              </c:numCache>
            </c:numRef>
          </c:yVal>
          <c:smooth val="0"/>
          <c:extLst>
            <c:ext xmlns:c16="http://schemas.microsoft.com/office/drawing/2014/chart" uri="{C3380CC4-5D6E-409C-BE32-E72D297353CC}">
              <c16:uniqueId val="{00000005-268F-4ECC-8857-3CB8D4EA64EA}"/>
            </c:ext>
          </c:extLst>
        </c:ser>
        <c:dLbls>
          <c:showLegendKey val="0"/>
          <c:showVal val="0"/>
          <c:showCatName val="0"/>
          <c:showSerName val="0"/>
          <c:showPercent val="0"/>
          <c:showBubbleSize val="0"/>
        </c:dLbls>
        <c:axId val="1535816175"/>
        <c:axId val="1719814767"/>
      </c:scatterChart>
      <c:valAx>
        <c:axId val="1535816175"/>
        <c:scaling>
          <c:orientation val="minMax"/>
          <c:max val="3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19814767"/>
        <c:crosses val="autoZero"/>
        <c:crossBetween val="midCat"/>
      </c:valAx>
      <c:valAx>
        <c:axId val="1719814767"/>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3581617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Cinética</a:t>
            </a:r>
            <a:r>
              <a:rPr lang="es-ES" baseline="0"/>
              <a:t> degradación SMX OA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 con aire</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6.7161163800860027E-2"/>
                  <c:y val="-1.3655928662288885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AE!$B$15:$B$25</c:f>
              <c:numCache>
                <c:formatCode>General</c:formatCode>
                <c:ptCount val="11"/>
                <c:pt idx="0">
                  <c:v>0</c:v>
                </c:pt>
                <c:pt idx="1">
                  <c:v>5</c:v>
                </c:pt>
                <c:pt idx="2">
                  <c:v>22</c:v>
                </c:pt>
                <c:pt idx="3">
                  <c:v>32</c:v>
                </c:pt>
                <c:pt idx="4">
                  <c:v>60</c:v>
                </c:pt>
                <c:pt idx="5">
                  <c:v>100</c:v>
                </c:pt>
                <c:pt idx="6">
                  <c:v>120</c:v>
                </c:pt>
                <c:pt idx="7">
                  <c:v>150</c:v>
                </c:pt>
                <c:pt idx="8">
                  <c:v>180</c:v>
                </c:pt>
                <c:pt idx="9">
                  <c:v>240</c:v>
                </c:pt>
                <c:pt idx="10">
                  <c:v>300</c:v>
                </c:pt>
              </c:numCache>
            </c:numRef>
          </c:xVal>
          <c:yVal>
            <c:numRef>
              <c:f>AE!$H$15:$H$25</c:f>
              <c:numCache>
                <c:formatCode>0.000</c:formatCode>
                <c:ptCount val="11"/>
                <c:pt idx="0">
                  <c:v>0</c:v>
                </c:pt>
                <c:pt idx="1">
                  <c:v>0.10694394530807864</c:v>
                </c:pt>
                <c:pt idx="2">
                  <c:v>0.32384365143663973</c:v>
                </c:pt>
                <c:pt idx="3">
                  <c:v>0.39849234978418285</c:v>
                </c:pt>
                <c:pt idx="4">
                  <c:v>0.75961692673922809</c:v>
                </c:pt>
                <c:pt idx="5">
                  <c:v>1.2539658624592565</c:v>
                </c:pt>
                <c:pt idx="6">
                  <c:v>1.5574186723232546</c:v>
                </c:pt>
                <c:pt idx="7">
                  <c:v>1.9374961034514675</c:v>
                </c:pt>
                <c:pt idx="8">
                  <c:v>2.4748979246295524</c:v>
                </c:pt>
                <c:pt idx="9">
                  <c:v>3.3511364580255254</c:v>
                </c:pt>
                <c:pt idx="10">
                  <c:v>4.2789749875667864</c:v>
                </c:pt>
              </c:numCache>
            </c:numRef>
          </c:yVal>
          <c:smooth val="0"/>
          <c:extLst>
            <c:ext xmlns:c16="http://schemas.microsoft.com/office/drawing/2014/chart" uri="{C3380CC4-5D6E-409C-BE32-E72D297353CC}">
              <c16:uniqueId val="{00000000-0C5E-4C4C-9C94-45737A1271DF}"/>
            </c:ext>
          </c:extLst>
        </c:ser>
        <c:ser>
          <c:idx val="1"/>
          <c:order val="1"/>
          <c:tx>
            <c:v>OA </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3.6976922206754463E-2"/>
                  <c:y val="0.1459076837717029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AK!$B$15:$B$25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AK!$H$15:$H$25</c:f>
              <c:numCache>
                <c:formatCode>0.000</c:formatCode>
                <c:ptCount val="11"/>
                <c:pt idx="0">
                  <c:v>0</c:v>
                </c:pt>
                <c:pt idx="1">
                  <c:v>4.5907363379710374E-2</c:v>
                </c:pt>
                <c:pt idx="2">
                  <c:v>0.12451503284933847</c:v>
                </c:pt>
                <c:pt idx="3">
                  <c:v>0.23727617689849922</c:v>
                </c:pt>
                <c:pt idx="4">
                  <c:v>0.44508069717101661</c:v>
                </c:pt>
                <c:pt idx="5">
                  <c:v>0.81574613694646381</c:v>
                </c:pt>
                <c:pt idx="6">
                  <c:v>0.94315200294446178</c:v>
                </c:pt>
                <c:pt idx="7">
                  <c:v>1.2520471696236255</c:v>
                </c:pt>
                <c:pt idx="8">
                  <c:v>1.5646757111705216</c:v>
                </c:pt>
                <c:pt idx="9">
                  <c:v>2.0699649886153524</c:v>
                </c:pt>
                <c:pt idx="10">
                  <c:v>2.6338841721108279</c:v>
                </c:pt>
              </c:numCache>
            </c:numRef>
          </c:yVal>
          <c:smooth val="0"/>
          <c:extLst>
            <c:ext xmlns:c16="http://schemas.microsoft.com/office/drawing/2014/chart" uri="{C3380CC4-5D6E-409C-BE32-E72D297353CC}">
              <c16:uniqueId val="{00000001-0C5E-4C4C-9C94-45737A1271DF}"/>
            </c:ext>
          </c:extLst>
        </c:ser>
        <c:dLbls>
          <c:showLegendKey val="0"/>
          <c:showVal val="0"/>
          <c:showCatName val="0"/>
          <c:showSerName val="0"/>
          <c:showPercent val="0"/>
          <c:showBubbleSize val="0"/>
        </c:dLbls>
        <c:axId val="269662623"/>
        <c:axId val="222470287"/>
      </c:scatterChart>
      <c:valAx>
        <c:axId val="26966262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22470287"/>
        <c:crosses val="autoZero"/>
        <c:crossBetween val="midCat"/>
      </c:valAx>
      <c:valAx>
        <c:axId val="2224702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-LN(C/C0)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69662623"/>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Cinética</a:t>
            </a:r>
            <a:r>
              <a:rPr lang="es-ES" baseline="0"/>
              <a:t> degradación OA y EF</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5.5846671655477298E-3"/>
                  <c:y val="-4.85190485867905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AK!$B$15:$B$25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AK!$H$15:$H$25</c:f>
              <c:numCache>
                <c:formatCode>0.000</c:formatCode>
                <c:ptCount val="11"/>
                <c:pt idx="0">
                  <c:v>0</c:v>
                </c:pt>
                <c:pt idx="1">
                  <c:v>4.5907363379710374E-2</c:v>
                </c:pt>
                <c:pt idx="2">
                  <c:v>0.12451503284933847</c:v>
                </c:pt>
                <c:pt idx="3">
                  <c:v>0.23727617689849922</c:v>
                </c:pt>
                <c:pt idx="4">
                  <c:v>0.44508069717101661</c:v>
                </c:pt>
                <c:pt idx="5">
                  <c:v>0.81574613694646381</c:v>
                </c:pt>
                <c:pt idx="6">
                  <c:v>0.94315200294446178</c:v>
                </c:pt>
                <c:pt idx="7">
                  <c:v>1.2520471696236255</c:v>
                </c:pt>
                <c:pt idx="8">
                  <c:v>1.5646757111705216</c:v>
                </c:pt>
                <c:pt idx="9">
                  <c:v>2.0699649886153524</c:v>
                </c:pt>
                <c:pt idx="10">
                  <c:v>2.6338841721108279</c:v>
                </c:pt>
              </c:numCache>
            </c:numRef>
          </c:yVal>
          <c:smooth val="0"/>
          <c:extLst>
            <c:ext xmlns:c16="http://schemas.microsoft.com/office/drawing/2014/chart" uri="{C3380CC4-5D6E-409C-BE32-E72D297353CC}">
              <c16:uniqueId val="{00000005-50FA-44B0-B32E-A656A10DA72F}"/>
            </c:ext>
          </c:extLst>
        </c:ser>
        <c:ser>
          <c:idx val="1"/>
          <c:order val="1"/>
          <c:tx>
            <c:v>EF</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4.30832071569087E-2"/>
                  <c:y val="-4.9616540806316283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AF!$B$15:$B$25</c:f>
              <c:numCache>
                <c:formatCode>General</c:formatCode>
                <c:ptCount val="11"/>
                <c:pt idx="0">
                  <c:v>0</c:v>
                </c:pt>
                <c:pt idx="1">
                  <c:v>5</c:v>
                </c:pt>
                <c:pt idx="2">
                  <c:v>15</c:v>
                </c:pt>
                <c:pt idx="3">
                  <c:v>30</c:v>
                </c:pt>
                <c:pt idx="4">
                  <c:v>60</c:v>
                </c:pt>
                <c:pt idx="5">
                  <c:v>90</c:v>
                </c:pt>
                <c:pt idx="6">
                  <c:v>120</c:v>
                </c:pt>
                <c:pt idx="7">
                  <c:v>150</c:v>
                </c:pt>
                <c:pt idx="8">
                  <c:v>180</c:v>
                </c:pt>
                <c:pt idx="9">
                  <c:v>240</c:v>
                </c:pt>
                <c:pt idx="10">
                  <c:v>300</c:v>
                </c:pt>
              </c:numCache>
            </c:numRef>
          </c:xVal>
          <c:yVal>
            <c:numRef>
              <c:f>AF!$H$15:$H$25</c:f>
              <c:numCache>
                <c:formatCode>0.000</c:formatCode>
                <c:ptCount val="11"/>
                <c:pt idx="0">
                  <c:v>0</c:v>
                </c:pt>
                <c:pt idx="1">
                  <c:v>0.1000050218014788</c:v>
                </c:pt>
                <c:pt idx="2">
                  <c:v>0.22317051536989965</c:v>
                </c:pt>
                <c:pt idx="3">
                  <c:v>0.52671100043547903</c:v>
                </c:pt>
                <c:pt idx="4">
                  <c:v>1.2245012634179491</c:v>
                </c:pt>
                <c:pt idx="5">
                  <c:v>1.8311264833690111</c:v>
                </c:pt>
                <c:pt idx="6">
                  <c:v>2.3798030575811473</c:v>
                </c:pt>
                <c:pt idx="7">
                  <c:v>2.7490707661603979</c:v>
                </c:pt>
                <c:pt idx="8">
                  <c:v>3.2355750942318378</c:v>
                </c:pt>
                <c:pt idx="9">
                  <c:v>4.2174018535606894</c:v>
                </c:pt>
                <c:pt idx="10">
                  <c:v>4.8605872978525966</c:v>
                </c:pt>
              </c:numCache>
            </c:numRef>
          </c:yVal>
          <c:smooth val="0"/>
          <c:extLst>
            <c:ext xmlns:c16="http://schemas.microsoft.com/office/drawing/2014/chart" uri="{C3380CC4-5D6E-409C-BE32-E72D297353CC}">
              <c16:uniqueId val="{00000007-50FA-44B0-B32E-A656A10DA72F}"/>
            </c:ext>
          </c:extLst>
        </c:ser>
        <c:dLbls>
          <c:showLegendKey val="0"/>
          <c:showVal val="0"/>
          <c:showCatName val="0"/>
          <c:showSerName val="0"/>
          <c:showPercent val="0"/>
          <c:showBubbleSize val="0"/>
        </c:dLbls>
        <c:axId val="269662623"/>
        <c:axId val="222470287"/>
      </c:scatterChart>
      <c:valAx>
        <c:axId val="26966262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22470287"/>
        <c:crosses val="autoZero"/>
        <c:crossBetween val="midCat"/>
      </c:valAx>
      <c:valAx>
        <c:axId val="2224702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-LN(C/C0)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69662623"/>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Cinética</a:t>
            </a:r>
            <a:r>
              <a:rPr lang="es-ES" baseline="0"/>
              <a:t> degradación EF con y sin PMS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EF</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0.13655947469732219"/>
                  <c:y val="4.511008434776094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AF!$B$15:$B$18</c:f>
              <c:numCache>
                <c:formatCode>General</c:formatCode>
                <c:ptCount val="4"/>
                <c:pt idx="0">
                  <c:v>0</c:v>
                </c:pt>
                <c:pt idx="1">
                  <c:v>5</c:v>
                </c:pt>
                <c:pt idx="2">
                  <c:v>15</c:v>
                </c:pt>
                <c:pt idx="3">
                  <c:v>30</c:v>
                </c:pt>
              </c:numCache>
            </c:numRef>
          </c:xVal>
          <c:yVal>
            <c:numRef>
              <c:f>AF!$H$15:$H$18</c:f>
              <c:numCache>
                <c:formatCode>0.000</c:formatCode>
                <c:ptCount val="4"/>
                <c:pt idx="0">
                  <c:v>0</c:v>
                </c:pt>
                <c:pt idx="1">
                  <c:v>0.1000050218014788</c:v>
                </c:pt>
                <c:pt idx="2">
                  <c:v>0.22317051536989965</c:v>
                </c:pt>
                <c:pt idx="3">
                  <c:v>0.52671100043547903</c:v>
                </c:pt>
              </c:numCache>
            </c:numRef>
          </c:yVal>
          <c:smooth val="0"/>
          <c:extLst>
            <c:ext xmlns:c16="http://schemas.microsoft.com/office/drawing/2014/chart" uri="{C3380CC4-5D6E-409C-BE32-E72D297353CC}">
              <c16:uniqueId val="{00000004-386A-4FAC-87D2-36C65577A9F2}"/>
            </c:ext>
          </c:extLst>
        </c:ser>
        <c:ser>
          <c:idx val="1"/>
          <c:order val="1"/>
          <c:tx>
            <c:v>EF 1mM PMS</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2.9200172779185072E-4"/>
                  <c:y val="0.1813030623330419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AI!$B$15:$B$18</c:f>
              <c:numCache>
                <c:formatCode>General</c:formatCode>
                <c:ptCount val="4"/>
                <c:pt idx="0">
                  <c:v>0</c:v>
                </c:pt>
                <c:pt idx="1">
                  <c:v>5</c:v>
                </c:pt>
                <c:pt idx="2">
                  <c:v>15</c:v>
                </c:pt>
                <c:pt idx="3">
                  <c:v>30</c:v>
                </c:pt>
              </c:numCache>
            </c:numRef>
          </c:xVal>
          <c:yVal>
            <c:numRef>
              <c:f>AI!$H$15:$H$18</c:f>
              <c:numCache>
                <c:formatCode>0.000</c:formatCode>
                <c:ptCount val="4"/>
                <c:pt idx="0">
                  <c:v>0</c:v>
                </c:pt>
                <c:pt idx="1">
                  <c:v>0.199860668480387</c:v>
                </c:pt>
                <c:pt idx="2">
                  <c:v>0.36944050577759541</c:v>
                </c:pt>
                <c:pt idx="3">
                  <c:v>0.60728836831743616</c:v>
                </c:pt>
              </c:numCache>
            </c:numRef>
          </c:yVal>
          <c:smooth val="0"/>
          <c:extLst>
            <c:ext xmlns:c16="http://schemas.microsoft.com/office/drawing/2014/chart" uri="{C3380CC4-5D6E-409C-BE32-E72D297353CC}">
              <c16:uniqueId val="{00000005-386A-4FAC-87D2-36C65577A9F2}"/>
            </c:ext>
          </c:extLst>
        </c:ser>
        <c:ser>
          <c:idx val="2"/>
          <c:order val="2"/>
          <c:tx>
            <c:v>EF 2mM PMS</c:v>
          </c:tx>
          <c:spPr>
            <a:ln w="25400" cap="rnd">
              <a:noFill/>
              <a:round/>
            </a:ln>
            <a:effectLst/>
          </c:spPr>
          <c:marker>
            <c:symbol val="circle"/>
            <c:size val="5"/>
            <c:spPr>
              <a:solidFill>
                <a:schemeClr val="accent3"/>
              </a:solidFill>
              <a:ln w="9525">
                <a:solidFill>
                  <a:schemeClr val="accent3"/>
                </a:solidFill>
              </a:ln>
              <a:effectLst/>
            </c:spPr>
          </c:marker>
          <c:trendline>
            <c:spPr>
              <a:ln w="19050" cap="rnd">
                <a:solidFill>
                  <a:schemeClr val="accent3"/>
                </a:solidFill>
                <a:prstDash val="sysDot"/>
              </a:ln>
              <a:effectLst/>
            </c:spPr>
            <c:trendlineType val="linear"/>
            <c:intercept val="0"/>
            <c:dispRSqr val="1"/>
            <c:dispEq val="1"/>
            <c:trendlineLbl>
              <c:layout>
                <c:manualLayout>
                  <c:x val="-1.7228101939719194E-2"/>
                  <c:y val="-2.316955896368347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AJ!$B$17:$B$18</c:f>
              <c:numCache>
                <c:formatCode>General</c:formatCode>
                <c:ptCount val="2"/>
                <c:pt idx="0">
                  <c:v>0</c:v>
                </c:pt>
                <c:pt idx="1">
                  <c:v>5</c:v>
                </c:pt>
              </c:numCache>
            </c:numRef>
          </c:xVal>
          <c:yVal>
            <c:numRef>
              <c:f>AJ!$H$17:$H$18</c:f>
              <c:numCache>
                <c:formatCode>0.000</c:formatCode>
                <c:ptCount val="2"/>
                <c:pt idx="0">
                  <c:v>0</c:v>
                </c:pt>
                <c:pt idx="1">
                  <c:v>0.32933895489769893</c:v>
                </c:pt>
              </c:numCache>
            </c:numRef>
          </c:yVal>
          <c:smooth val="0"/>
          <c:extLst>
            <c:ext xmlns:c16="http://schemas.microsoft.com/office/drawing/2014/chart" uri="{C3380CC4-5D6E-409C-BE32-E72D297353CC}">
              <c16:uniqueId val="{00000006-386A-4FAC-87D2-36C65577A9F2}"/>
            </c:ext>
          </c:extLst>
        </c:ser>
        <c:dLbls>
          <c:showLegendKey val="0"/>
          <c:showVal val="0"/>
          <c:showCatName val="0"/>
          <c:showSerName val="0"/>
          <c:showPercent val="0"/>
          <c:showBubbleSize val="0"/>
        </c:dLbls>
        <c:axId val="269662623"/>
        <c:axId val="222470287"/>
      </c:scatterChart>
      <c:valAx>
        <c:axId val="26966262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22470287"/>
        <c:crosses val="autoZero"/>
        <c:crossBetween val="midCat"/>
      </c:valAx>
      <c:valAx>
        <c:axId val="2224702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-LN(C/C0)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69662623"/>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degradación mezcla 50 ppm SMX y 50 ppm ANT </a:t>
            </a:r>
            <a:endParaRPr lang="es-ES"/>
          </a:p>
        </c:rich>
      </c:tx>
      <c:layout>
        <c:manualLayout>
          <c:xMode val="edge"/>
          <c:yMode val="edge"/>
          <c:x val="0.10730848598851093"/>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2"/>
          <c:order val="2"/>
          <c:tx>
            <c:v>EF SMX</c:v>
          </c:tx>
          <c:spPr>
            <a:ln w="19050" cap="rnd">
              <a:solidFill>
                <a:srgbClr val="0070C0"/>
              </a:solidFill>
              <a:round/>
            </a:ln>
            <a:effectLst/>
          </c:spPr>
          <c:marker>
            <c:symbol val="circle"/>
            <c:size val="5"/>
            <c:spPr>
              <a:solidFill>
                <a:srgbClr val="0070C0"/>
              </a:solidFill>
              <a:ln w="9525">
                <a:solidFill>
                  <a:srgbClr val="0070C0"/>
                </a:solidFill>
              </a:ln>
              <a:effectLst/>
            </c:spPr>
          </c:marker>
          <c:xVal>
            <c:numRef>
              <c:f>AM!$B$15:$B$25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AM!$H$15:$H$25</c:f>
              <c:numCache>
                <c:formatCode>0.00</c:formatCode>
                <c:ptCount val="11"/>
                <c:pt idx="0">
                  <c:v>0</c:v>
                </c:pt>
                <c:pt idx="1">
                  <c:v>9.1903762627495027</c:v>
                </c:pt>
                <c:pt idx="2">
                  <c:v>20.309404128641845</c:v>
                </c:pt>
                <c:pt idx="3">
                  <c:v>31.541652432775368</c:v>
                </c:pt>
                <c:pt idx="4">
                  <c:v>51.031184422429355</c:v>
                </c:pt>
                <c:pt idx="5">
                  <c:v>62.923234590795964</c:v>
                </c:pt>
                <c:pt idx="6">
                  <c:v>71.859840905763505</c:v>
                </c:pt>
                <c:pt idx="7">
                  <c:v>79.418281196622914</c:v>
                </c:pt>
                <c:pt idx="8">
                  <c:v>85.655165682494754</c:v>
                </c:pt>
                <c:pt idx="9">
                  <c:v>92.097018203113549</c:v>
                </c:pt>
                <c:pt idx="10">
                  <c:v>94.619101068761907</c:v>
                </c:pt>
              </c:numCache>
            </c:numRef>
          </c:yVal>
          <c:smooth val="0"/>
          <c:extLst>
            <c:ext xmlns:c16="http://schemas.microsoft.com/office/drawing/2014/chart" uri="{C3380CC4-5D6E-409C-BE32-E72D297353CC}">
              <c16:uniqueId val="{00000002-83E6-484D-9408-5C7AD595EBFC}"/>
            </c:ext>
          </c:extLst>
        </c:ser>
        <c:ser>
          <c:idx val="3"/>
          <c:order val="3"/>
          <c:tx>
            <c:v>EF ANT </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AM!$B$15:$B$25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AM!$M$15:$M$25</c:f>
              <c:numCache>
                <c:formatCode>0.00</c:formatCode>
                <c:ptCount val="11"/>
                <c:pt idx="0">
                  <c:v>0</c:v>
                </c:pt>
                <c:pt idx="1">
                  <c:v>9.2896108911847151</c:v>
                </c:pt>
                <c:pt idx="2">
                  <c:v>18.084387370860295</c:v>
                </c:pt>
                <c:pt idx="3">
                  <c:v>25.918460944288885</c:v>
                </c:pt>
                <c:pt idx="4">
                  <c:v>42.832142512310519</c:v>
                </c:pt>
                <c:pt idx="5">
                  <c:v>58.01873129284543</c:v>
                </c:pt>
                <c:pt idx="6">
                  <c:v>68.552669691995746</c:v>
                </c:pt>
                <c:pt idx="7">
                  <c:v>77.360722216858164</c:v>
                </c:pt>
                <c:pt idx="8">
                  <c:v>82.28130732837694</c:v>
                </c:pt>
                <c:pt idx="9">
                  <c:v>91.165395384763926</c:v>
                </c:pt>
                <c:pt idx="10">
                  <c:v>92.826107946316512</c:v>
                </c:pt>
              </c:numCache>
            </c:numRef>
          </c:yVal>
          <c:smooth val="0"/>
          <c:extLst>
            <c:ext xmlns:c16="http://schemas.microsoft.com/office/drawing/2014/chart" uri="{C3380CC4-5D6E-409C-BE32-E72D297353CC}">
              <c16:uniqueId val="{00000003-83E6-484D-9408-5C7AD595EBFC}"/>
            </c:ext>
          </c:extLst>
        </c:ser>
        <c:ser>
          <c:idx val="5"/>
          <c:order val="5"/>
          <c:tx>
            <c:v>EF SMX 1</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AF!$B$15:$B$26</c:f>
              <c:numCache>
                <c:formatCode>General</c:formatCode>
                <c:ptCount val="12"/>
                <c:pt idx="0">
                  <c:v>0</c:v>
                </c:pt>
                <c:pt idx="1">
                  <c:v>5</c:v>
                </c:pt>
                <c:pt idx="2">
                  <c:v>15</c:v>
                </c:pt>
                <c:pt idx="3">
                  <c:v>30</c:v>
                </c:pt>
                <c:pt idx="4">
                  <c:v>60</c:v>
                </c:pt>
                <c:pt idx="5">
                  <c:v>90</c:v>
                </c:pt>
                <c:pt idx="6">
                  <c:v>120</c:v>
                </c:pt>
                <c:pt idx="7">
                  <c:v>150</c:v>
                </c:pt>
                <c:pt idx="8">
                  <c:v>180</c:v>
                </c:pt>
                <c:pt idx="9">
                  <c:v>240</c:v>
                </c:pt>
                <c:pt idx="10">
                  <c:v>300</c:v>
                </c:pt>
                <c:pt idx="11">
                  <c:v>360</c:v>
                </c:pt>
              </c:numCache>
            </c:numRef>
          </c:xVal>
          <c:yVal>
            <c:numRef>
              <c:f>AF!$G$15:$G$26</c:f>
              <c:numCache>
                <c:formatCode>0.00</c:formatCode>
                <c:ptCount val="12"/>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pt idx="11">
                  <c:v>99.548970967457279</c:v>
                </c:pt>
              </c:numCache>
            </c:numRef>
          </c:yVal>
          <c:smooth val="0"/>
          <c:extLst>
            <c:ext xmlns:c16="http://schemas.microsoft.com/office/drawing/2014/chart" uri="{C3380CC4-5D6E-409C-BE32-E72D297353CC}">
              <c16:uniqueId val="{00000001-453A-4851-A012-D561DAC74361}"/>
            </c:ext>
          </c:extLst>
        </c:ser>
        <c:ser>
          <c:idx val="6"/>
          <c:order val="6"/>
          <c:tx>
            <c:v>EF ANT</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AÑ!$B$15:$B$25</c:f>
              <c:numCache>
                <c:formatCode>General</c:formatCode>
                <c:ptCount val="11"/>
                <c:pt idx="0">
                  <c:v>0</c:v>
                </c:pt>
                <c:pt idx="1">
                  <c:v>5</c:v>
                </c:pt>
                <c:pt idx="2">
                  <c:v>15</c:v>
                </c:pt>
                <c:pt idx="3">
                  <c:v>30</c:v>
                </c:pt>
                <c:pt idx="4">
                  <c:v>60</c:v>
                </c:pt>
                <c:pt idx="5">
                  <c:v>90</c:v>
                </c:pt>
                <c:pt idx="6">
                  <c:v>120</c:v>
                </c:pt>
                <c:pt idx="7">
                  <c:v>150</c:v>
                </c:pt>
                <c:pt idx="8">
                  <c:v>190</c:v>
                </c:pt>
                <c:pt idx="9">
                  <c:v>240</c:v>
                </c:pt>
                <c:pt idx="10">
                  <c:v>300</c:v>
                </c:pt>
              </c:numCache>
            </c:numRef>
          </c:xVal>
          <c:yVal>
            <c:numRef>
              <c:f>AÑ!$H$15:$H$25</c:f>
              <c:numCache>
                <c:formatCode>0.00</c:formatCode>
                <c:ptCount val="11"/>
                <c:pt idx="0">
                  <c:v>0</c:v>
                </c:pt>
                <c:pt idx="1">
                  <c:v>7.691784085494521</c:v>
                </c:pt>
                <c:pt idx="2">
                  <c:v>17.269076305220874</c:v>
                </c:pt>
                <c:pt idx="3">
                  <c:v>34.422435504730785</c:v>
                </c:pt>
                <c:pt idx="4">
                  <c:v>53.924171261316459</c:v>
                </c:pt>
                <c:pt idx="5">
                  <c:v>60.717446055408061</c:v>
                </c:pt>
                <c:pt idx="6">
                  <c:v>67.88509972091758</c:v>
                </c:pt>
                <c:pt idx="7">
                  <c:v>77.496426383500108</c:v>
                </c:pt>
                <c:pt idx="8">
                  <c:v>86.54958818324144</c:v>
                </c:pt>
                <c:pt idx="9">
                  <c:v>92.532843237356204</c:v>
                </c:pt>
                <c:pt idx="10">
                  <c:v>95.800149751548574</c:v>
                </c:pt>
              </c:numCache>
            </c:numRef>
          </c:yVal>
          <c:smooth val="0"/>
          <c:extLst>
            <c:ext xmlns:c16="http://schemas.microsoft.com/office/drawing/2014/chart" uri="{C3380CC4-5D6E-409C-BE32-E72D297353CC}">
              <c16:uniqueId val="{00000000-15D2-4ED6-B005-6D556D70C7FF}"/>
            </c:ext>
          </c:extLst>
        </c:ser>
        <c:dLbls>
          <c:showLegendKey val="0"/>
          <c:showVal val="0"/>
          <c:showCatName val="0"/>
          <c:showSerName val="0"/>
          <c:showPercent val="0"/>
          <c:showBubbleSize val="0"/>
        </c:dLbls>
        <c:axId val="1349899775"/>
        <c:axId val="1450211695"/>
        <c:extLst>
          <c:ext xmlns:c15="http://schemas.microsoft.com/office/drawing/2012/chart" uri="{02D57815-91ED-43cb-92C2-25804820EDAC}">
            <c15:filteredScatterSeries>
              <c15:ser>
                <c:idx val="0"/>
                <c:order val="0"/>
                <c:tx>
                  <c:v>OA SMX</c:v>
                </c:tx>
                <c:spPr>
                  <a:ln w="19050" cap="rnd">
                    <a:solidFill>
                      <a:srgbClr val="00B0F0"/>
                    </a:solidFill>
                    <a:round/>
                  </a:ln>
                  <a:effectLst/>
                </c:spPr>
                <c:marker>
                  <c:symbol val="circle"/>
                  <c:size val="5"/>
                  <c:spPr>
                    <a:solidFill>
                      <a:srgbClr val="00B0F0"/>
                    </a:solidFill>
                    <a:ln w="9525">
                      <a:solidFill>
                        <a:srgbClr val="00B0F0"/>
                      </a:solidFill>
                    </a:ln>
                    <a:effectLst/>
                  </c:spPr>
                </c:marker>
                <c:xVal>
                  <c:numRef>
                    <c:extLst>
                      <c:ext uri="{02D57815-91ED-43cb-92C2-25804820EDAC}">
                        <c15:formulaRef>
                          <c15:sqref>AL!$B$15:$B$25</c15:sqref>
                        </c15:formulaRef>
                      </c:ext>
                    </c:extLst>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extLst>
                      <c:ext uri="{02D57815-91ED-43cb-92C2-25804820EDAC}">
                        <c15:formulaRef>
                          <c15:sqref>AL!$H$15:$H$25</c15:sqref>
                        </c15:formulaRef>
                      </c:ext>
                    </c:extLst>
                    <c:numCache>
                      <c:formatCode>General</c:formatCode>
                      <c:ptCount val="11"/>
                      <c:pt idx="0">
                        <c:v>0</c:v>
                      </c:pt>
                      <c:pt idx="1">
                        <c:v>5.2249930275723555</c:v>
                      </c:pt>
                      <c:pt idx="2">
                        <c:v>9.8489147055712127</c:v>
                      </c:pt>
                      <c:pt idx="3">
                        <c:v>20.019041940354491</c:v>
                      </c:pt>
                      <c:pt idx="4">
                        <c:v>26.74911762725883</c:v>
                      </c:pt>
                      <c:pt idx="5">
                        <c:v>36.340292938132933</c:v>
                      </c:pt>
                      <c:pt idx="6">
                        <c:v>51.407468672161258</c:v>
                      </c:pt>
                      <c:pt idx="7">
                        <c:v>57.917311816581872</c:v>
                      </c:pt>
                      <c:pt idx="8">
                        <c:v>65.557169098200646</c:v>
                      </c:pt>
                      <c:pt idx="9">
                        <c:v>78.649945663150007</c:v>
                      </c:pt>
                      <c:pt idx="10">
                        <c:v>83.491214741154636</c:v>
                      </c:pt>
                    </c:numCache>
                  </c:numRef>
                </c:yVal>
                <c:smooth val="0"/>
                <c:extLst>
                  <c:ext xmlns:c16="http://schemas.microsoft.com/office/drawing/2014/chart" uri="{C3380CC4-5D6E-409C-BE32-E72D297353CC}">
                    <c16:uniqueId val="{00000000-83E6-484D-9408-5C7AD595EBFC}"/>
                  </c:ext>
                </c:extLst>
              </c15:ser>
            </c15:filteredScatterSeries>
            <c15:filteredScatterSeries>
              <c15:ser>
                <c:idx val="1"/>
                <c:order val="1"/>
                <c:tx>
                  <c:v>OA ANT</c:v>
                </c:tx>
                <c:spPr>
                  <a:ln w="19050" cap="rnd">
                    <a:solidFill>
                      <a:srgbClr val="FFC000"/>
                    </a:solidFill>
                    <a:round/>
                  </a:ln>
                  <a:effectLst/>
                </c:spPr>
                <c:marker>
                  <c:symbol val="circle"/>
                  <c:size val="5"/>
                  <c:spPr>
                    <a:solidFill>
                      <a:srgbClr val="FFC000"/>
                    </a:solidFill>
                    <a:ln w="9525">
                      <a:solidFill>
                        <a:srgbClr val="FFC000"/>
                      </a:solidFill>
                    </a:ln>
                    <a:effectLst/>
                  </c:spPr>
                </c:marker>
                <c:xVal>
                  <c:numRef>
                    <c:extLst xmlns:c15="http://schemas.microsoft.com/office/drawing/2012/chart">
                      <c:ext xmlns:c15="http://schemas.microsoft.com/office/drawing/2012/chart" uri="{02D57815-91ED-43cb-92C2-25804820EDAC}">
                        <c15:formulaRef>
                          <c15:sqref>AL!$B$15:$B$25</c15:sqref>
                        </c15:formulaRef>
                      </c:ext>
                    </c:extLst>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extLst xmlns:c15="http://schemas.microsoft.com/office/drawing/2012/chart">
                      <c:ext xmlns:c15="http://schemas.microsoft.com/office/drawing/2012/chart" uri="{02D57815-91ED-43cb-92C2-25804820EDAC}">
                        <c15:formulaRef>
                          <c15:sqref>AL!$M$15:$M$25</c15:sqref>
                        </c15:formulaRef>
                      </c:ext>
                    </c:extLst>
                    <c:numCache>
                      <c:formatCode>General</c:formatCode>
                      <c:ptCount val="11"/>
                      <c:pt idx="0">
                        <c:v>0</c:v>
                      </c:pt>
                      <c:pt idx="1">
                        <c:v>4.3003240300179586</c:v>
                      </c:pt>
                      <c:pt idx="2">
                        <c:v>9.1884794680607715</c:v>
                      </c:pt>
                      <c:pt idx="3">
                        <c:v>19.870628907332236</c:v>
                      </c:pt>
                      <c:pt idx="4">
                        <c:v>26.898105207367173</c:v>
                      </c:pt>
                      <c:pt idx="5">
                        <c:v>32.139200404736378</c:v>
                      </c:pt>
                      <c:pt idx="6">
                        <c:v>47.815507667104335</c:v>
                      </c:pt>
                      <c:pt idx="7">
                        <c:v>52.998783381717004</c:v>
                      </c:pt>
                      <c:pt idx="8">
                        <c:v>60.918847946806089</c:v>
                      </c:pt>
                      <c:pt idx="9">
                        <c:v>75.979618632328311</c:v>
                      </c:pt>
                      <c:pt idx="10">
                        <c:v>81.224327547369825</c:v>
                      </c:pt>
                    </c:numCache>
                  </c:numRef>
                </c:yVal>
                <c:smooth val="0"/>
                <c:extLst xmlns:c15="http://schemas.microsoft.com/office/drawing/2012/chart">
                  <c:ext xmlns:c16="http://schemas.microsoft.com/office/drawing/2014/chart" uri="{C3380CC4-5D6E-409C-BE32-E72D297353CC}">
                    <c16:uniqueId val="{00000001-83E6-484D-9408-5C7AD595EBFC}"/>
                  </c:ext>
                </c:extLst>
              </c15:ser>
            </c15:filteredScatterSeries>
            <c15:filteredScatterSeries>
              <c15:ser>
                <c:idx val="4"/>
                <c:order val="4"/>
                <c:tx>
                  <c:v>OA SMX 1</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AK!$B$15:$B$25</c15:sqref>
                        </c15:formulaRef>
                      </c:ext>
                    </c:extLst>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extLst xmlns:c15="http://schemas.microsoft.com/office/drawing/2012/chart">
                      <c:ext xmlns:c15="http://schemas.microsoft.com/office/drawing/2012/chart" uri="{02D57815-91ED-43cb-92C2-25804820EDAC}">
                        <c15:formulaRef>
                          <c15:sqref>AK!$G$15:$G$25</c15:sqref>
                        </c15:formulaRef>
                      </c:ext>
                    </c:extLst>
                    <c:numCache>
                      <c:formatCode>0.00</c:formatCode>
                      <c:ptCount val="11"/>
                      <c:pt idx="0">
                        <c:v>0</c:v>
                      </c:pt>
                      <c:pt idx="1">
                        <c:v>4.4869561851679691</c:v>
                      </c:pt>
                      <c:pt idx="2">
                        <c:v>11.707501161170455</c:v>
                      </c:pt>
                      <c:pt idx="3">
                        <c:v>21.122658306239344</c:v>
                      </c:pt>
                      <c:pt idx="4">
                        <c:v>35.922743458739738</c:v>
                      </c:pt>
                      <c:pt idx="5">
                        <c:v>55.769081901223096</c:v>
                      </c:pt>
                      <c:pt idx="6">
                        <c:v>61.060148629818855</c:v>
                      </c:pt>
                      <c:pt idx="7">
                        <c:v>71.408112710945971</c:v>
                      </c:pt>
                      <c:pt idx="8">
                        <c:v>79.084417092429163</c:v>
                      </c:pt>
                      <c:pt idx="9">
                        <c:v>87.380980027868091</c:v>
                      </c:pt>
                      <c:pt idx="10">
                        <c:v>92.820095990091346</c:v>
                      </c:pt>
                    </c:numCache>
                  </c:numRef>
                </c:yVal>
                <c:smooth val="0"/>
                <c:extLst xmlns:c15="http://schemas.microsoft.com/office/drawing/2012/chart">
                  <c:ext xmlns:c16="http://schemas.microsoft.com/office/drawing/2014/chart" uri="{C3380CC4-5D6E-409C-BE32-E72D297353CC}">
                    <c16:uniqueId val="{00000000-453A-4851-A012-D561DAC74361}"/>
                  </c:ext>
                </c:extLst>
              </c15:ser>
            </c15:filteredScatterSeries>
          </c:ext>
        </c:extLst>
      </c:scatterChart>
      <c:valAx>
        <c:axId val="1349899775"/>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50211695"/>
        <c:crosses val="autoZero"/>
        <c:crossBetween val="midCat"/>
      </c:valAx>
      <c:valAx>
        <c:axId val="1450211695"/>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4989977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Cinética</a:t>
            </a:r>
            <a:r>
              <a:rPr lang="es-ES" baseline="0"/>
              <a:t> degradación OA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 SMX</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5.4409023629607846E-2"/>
                  <c:y val="7.9253112033195027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AL!$I$15:$I$25</c:f>
              <c:numCache>
                <c:formatCode>General</c:formatCode>
                <c:ptCount val="11"/>
                <c:pt idx="0">
                  <c:v>0</c:v>
                </c:pt>
                <c:pt idx="1">
                  <c:v>5.3664451017479825E-2</c:v>
                </c:pt>
                <c:pt idx="2">
                  <c:v>0.10368319764884795</c:v>
                </c:pt>
                <c:pt idx="3">
                  <c:v>0.22338160390090978</c:v>
                </c:pt>
                <c:pt idx="4">
                  <c:v>0.31127989211921969</c:v>
                </c:pt>
                <c:pt idx="5">
                  <c:v>0.45161836574908221</c:v>
                </c:pt>
                <c:pt idx="6">
                  <c:v>0.72170034327298738</c:v>
                </c:pt>
                <c:pt idx="7">
                  <c:v>0.86553373691325686</c:v>
                </c:pt>
                <c:pt idx="8">
                  <c:v>1.0658693117288403</c:v>
                </c:pt>
                <c:pt idx="9">
                  <c:v>1.5441159012651742</c:v>
                </c:pt>
                <c:pt idx="10">
                  <c:v>1.8012775068473796</c:v>
                </c:pt>
              </c:numCache>
            </c:numRef>
          </c:yVal>
          <c:smooth val="0"/>
          <c:extLst>
            <c:ext xmlns:c16="http://schemas.microsoft.com/office/drawing/2014/chart" uri="{C3380CC4-5D6E-409C-BE32-E72D297353CC}">
              <c16:uniqueId val="{00000000-9BE6-4E21-A343-EDD7158A211F}"/>
            </c:ext>
          </c:extLst>
        </c:ser>
        <c:ser>
          <c:idx val="1"/>
          <c:order val="1"/>
          <c:tx>
            <c:v>OA ANT</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4.635252778461494E-2"/>
                  <c:y val="0.1232819289704969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AL!$N$15:$N$25</c:f>
              <c:numCache>
                <c:formatCode>General</c:formatCode>
                <c:ptCount val="11"/>
                <c:pt idx="0">
                  <c:v>0</c:v>
                </c:pt>
                <c:pt idx="1">
                  <c:v>4.211794497143783E-2</c:v>
                </c:pt>
                <c:pt idx="2">
                  <c:v>9.2251651020723816E-2</c:v>
                </c:pt>
                <c:pt idx="3">
                  <c:v>0.21143006504029463</c:v>
                </c:pt>
                <c:pt idx="4">
                  <c:v>0.29836943202634153</c:v>
                </c:pt>
                <c:pt idx="5">
                  <c:v>0.36851452960390929</c:v>
                </c:pt>
                <c:pt idx="6">
                  <c:v>0.61357157954254971</c:v>
                </c:pt>
                <c:pt idx="7">
                  <c:v>0.70988194996815424</c:v>
                </c:pt>
                <c:pt idx="8">
                  <c:v>0.87768817061535043</c:v>
                </c:pt>
                <c:pt idx="9">
                  <c:v>1.3045339918579035</c:v>
                </c:pt>
                <c:pt idx="10">
                  <c:v>1.5096003925884502</c:v>
                </c:pt>
              </c:numCache>
            </c:numRef>
          </c:yVal>
          <c:smooth val="0"/>
          <c:extLst>
            <c:ext xmlns:c16="http://schemas.microsoft.com/office/drawing/2014/chart" uri="{C3380CC4-5D6E-409C-BE32-E72D297353CC}">
              <c16:uniqueId val="{00000001-9BE6-4E21-A343-EDD7158A211F}"/>
            </c:ext>
          </c:extLst>
        </c:ser>
        <c:dLbls>
          <c:showLegendKey val="0"/>
          <c:showVal val="0"/>
          <c:showCatName val="0"/>
          <c:showSerName val="0"/>
          <c:showPercent val="0"/>
          <c:showBubbleSize val="0"/>
        </c:dLbls>
        <c:axId val="1337165839"/>
        <c:axId val="659825472"/>
      </c:scatterChart>
      <c:valAx>
        <c:axId val="133716583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59825472"/>
        <c:crosses val="autoZero"/>
        <c:crossBetween val="midCat"/>
      </c:valAx>
      <c:valAx>
        <c:axId val="65982547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-LN(C/C0)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37165839"/>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E276-4C24-BA5C-ADA46A119406}"/>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E276-4C24-BA5C-ADA46A119406}"/>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E276-4C24-BA5C-ADA46A119406}"/>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E276-4C24-BA5C-ADA46A119406}"/>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Cinética</a:t>
            </a:r>
            <a:r>
              <a:rPr lang="es-ES" baseline="0"/>
              <a:t> degradación EF</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EF SMX</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5.0185747397562167E-2"/>
                  <c:y val="1.728722187734831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AM!$B$15:$B$25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AM!$I$15:$I$25</c:f>
              <c:numCache>
                <c:formatCode>0.000</c:formatCode>
                <c:ptCount val="11"/>
                <c:pt idx="0">
                  <c:v>0</c:v>
                </c:pt>
                <c:pt idx="1">
                  <c:v>9.6404917701496104E-2</c:v>
                </c:pt>
                <c:pt idx="2">
                  <c:v>0.2270186012396167</c:v>
                </c:pt>
                <c:pt idx="3">
                  <c:v>0.37894469037828465</c:v>
                </c:pt>
                <c:pt idx="4">
                  <c:v>0.71398650726086188</c:v>
                </c:pt>
                <c:pt idx="5">
                  <c:v>0.99217968185692329</c:v>
                </c:pt>
                <c:pt idx="6">
                  <c:v>1.2679724806491559</c:v>
                </c:pt>
                <c:pt idx="7">
                  <c:v>1.5807669409269181</c:v>
                </c:pt>
                <c:pt idx="8">
                  <c:v>1.9417802864642484</c:v>
                </c:pt>
                <c:pt idx="9">
                  <c:v>2.5379300550848187</c:v>
                </c:pt>
                <c:pt idx="10">
                  <c:v>2.9223147381812491</c:v>
                </c:pt>
              </c:numCache>
            </c:numRef>
          </c:yVal>
          <c:smooth val="0"/>
          <c:extLst>
            <c:ext xmlns:c16="http://schemas.microsoft.com/office/drawing/2014/chart" uri="{C3380CC4-5D6E-409C-BE32-E72D297353CC}">
              <c16:uniqueId val="{00000007-EBB9-4F11-B881-B3CBF389E5A3}"/>
            </c:ext>
          </c:extLst>
        </c:ser>
        <c:ser>
          <c:idx val="1"/>
          <c:order val="1"/>
          <c:tx>
            <c:v>EF ANT</c:v>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intercept val="0"/>
            <c:dispRSqr val="1"/>
            <c:dispEq val="1"/>
            <c:trendlineLbl>
              <c:layout>
                <c:manualLayout>
                  <c:x val="3.4172760763182493E-2"/>
                  <c:y val="0.1561113470774659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AM!$B$15:$B$25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AM!$N$15:$N$25</c:f>
              <c:numCache>
                <c:formatCode>0.000</c:formatCode>
                <c:ptCount val="11"/>
                <c:pt idx="0">
                  <c:v>0</c:v>
                </c:pt>
                <c:pt idx="1">
                  <c:v>9.3308099586012105E-2</c:v>
                </c:pt>
                <c:pt idx="2">
                  <c:v>0.19046938458836343</c:v>
                </c:pt>
                <c:pt idx="3">
                  <c:v>0.28576066084732771</c:v>
                </c:pt>
                <c:pt idx="4">
                  <c:v>0.52892076793536913</c:v>
                </c:pt>
                <c:pt idx="5">
                  <c:v>0.81282875161297519</c:v>
                </c:pt>
                <c:pt idx="6">
                  <c:v>1.0712466301779093</c:v>
                </c:pt>
                <c:pt idx="7">
                  <c:v>1.3543612148088149</c:v>
                </c:pt>
                <c:pt idx="8">
                  <c:v>1.5562583445674236</c:v>
                </c:pt>
                <c:pt idx="9">
                  <c:v>2.0736538239566826</c:v>
                </c:pt>
                <c:pt idx="10">
                  <c:v>2.2091005792261416</c:v>
                </c:pt>
              </c:numCache>
            </c:numRef>
          </c:yVal>
          <c:smooth val="0"/>
          <c:extLst>
            <c:ext xmlns:c16="http://schemas.microsoft.com/office/drawing/2014/chart" uri="{C3380CC4-5D6E-409C-BE32-E72D297353CC}">
              <c16:uniqueId val="{00000008-EBB9-4F11-B881-B3CBF389E5A3}"/>
            </c:ext>
          </c:extLst>
        </c:ser>
        <c:dLbls>
          <c:showLegendKey val="0"/>
          <c:showVal val="0"/>
          <c:showCatName val="0"/>
          <c:showSerName val="0"/>
          <c:showPercent val="0"/>
          <c:showBubbleSize val="0"/>
        </c:dLbls>
        <c:axId val="1337165839"/>
        <c:axId val="659825472"/>
      </c:scatterChart>
      <c:valAx>
        <c:axId val="133716583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59825472"/>
        <c:crosses val="autoZero"/>
        <c:crossBetween val="midCat"/>
      </c:valAx>
      <c:valAx>
        <c:axId val="65982547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-LN(C/C0)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37165839"/>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Todo</a:t>
            </a:r>
            <a:r>
              <a:rPr lang="es-ES" baseline="0"/>
              <a:t> 100 mA 10 ppm SMX</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0.14367833650423326"/>
          <c:y val="0.1685909090909091"/>
          <c:w val="0.56950121975493806"/>
          <c:h val="0.63412133142448091"/>
        </c:manualLayout>
      </c:layout>
      <c:scatterChart>
        <c:scatterStyle val="lineMarker"/>
        <c:varyColors val="0"/>
        <c:ser>
          <c:idx val="0"/>
          <c:order val="0"/>
          <c:tx>
            <c:v>OA 100 mA 10 ppm SMX</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I!$G$14:$G$20</c:f>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0-2D09-4709-BC8C-2CEE4C0BD732}"/>
            </c:ext>
          </c:extLst>
        </c:ser>
        <c:ser>
          <c:idx val="1"/>
          <c:order val="1"/>
          <c:tx>
            <c:v>EF 100 mA 10 ppm SMX</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J!$B$15:$B$21</c:f>
              <c:numCache>
                <c:formatCode>General</c:formatCode>
                <c:ptCount val="7"/>
                <c:pt idx="0">
                  <c:v>0</c:v>
                </c:pt>
                <c:pt idx="1">
                  <c:v>5</c:v>
                </c:pt>
                <c:pt idx="2">
                  <c:v>15</c:v>
                </c:pt>
                <c:pt idx="3">
                  <c:v>30</c:v>
                </c:pt>
                <c:pt idx="4">
                  <c:v>45</c:v>
                </c:pt>
                <c:pt idx="5">
                  <c:v>60</c:v>
                </c:pt>
                <c:pt idx="6">
                  <c:v>90</c:v>
                </c:pt>
              </c:numCache>
            </c:numRef>
          </c:xVal>
          <c:yVal>
            <c:numRef>
              <c:f>J!$G$15:$G$21</c:f>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c:ext xmlns:c16="http://schemas.microsoft.com/office/drawing/2014/chart" uri="{C3380CC4-5D6E-409C-BE32-E72D297353CC}">
              <c16:uniqueId val="{00000001-2D09-4709-BC8C-2CEE4C0BD732}"/>
            </c:ext>
          </c:extLst>
        </c:ser>
        <c:ser>
          <c:idx val="2"/>
          <c:order val="2"/>
          <c:tx>
            <c:v>Todo 100 mA 10 ppm SMX</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2-2D09-4709-BC8C-2CEE4C0BD732}"/>
            </c:ext>
          </c:extLst>
        </c:ser>
        <c:dLbls>
          <c:showLegendKey val="0"/>
          <c:showVal val="0"/>
          <c:showCatName val="0"/>
          <c:showSerName val="0"/>
          <c:showPercent val="0"/>
          <c:showBubbleSize val="0"/>
        </c:dLbls>
        <c:axId val="966777920"/>
        <c:axId val="976799536"/>
      </c:scatterChart>
      <c:valAx>
        <c:axId val="96677792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76799536"/>
        <c:crosses val="autoZero"/>
        <c:crossBetween val="midCat"/>
      </c:valAx>
      <c:valAx>
        <c:axId val="97679953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66777920"/>
        <c:crosses val="autoZero"/>
        <c:crossBetween val="midCat"/>
      </c:valAx>
      <c:spPr>
        <a:noFill/>
        <a:ln>
          <a:noFill/>
        </a:ln>
        <a:effectLst/>
      </c:spPr>
    </c:plotArea>
    <c:legend>
      <c:legendPos val="r"/>
      <c:layout>
        <c:manualLayout>
          <c:xMode val="edge"/>
          <c:yMode val="edge"/>
          <c:x val="0.75042823350784849"/>
          <c:y val="0.32605583392984971"/>
          <c:w val="0.24722020858503799"/>
          <c:h val="0.3892061560486757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Todo</a:t>
            </a:r>
            <a:r>
              <a:rPr lang="es-ES" baseline="0"/>
              <a:t> 100 mA 10 ppm SMX varios usos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0.15284355872026315"/>
          <c:y val="0.16558035714285715"/>
          <c:w val="0.60309031727506868"/>
          <c:h val="0.62279773622047241"/>
        </c:manualLayout>
      </c:layout>
      <c:scatterChart>
        <c:scatterStyle val="lineMarker"/>
        <c:varyColors val="0"/>
        <c:ser>
          <c:idx val="0"/>
          <c:order val="0"/>
          <c:tx>
            <c:v>Todo 100 mA 10 ppm SMX 1 uso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9AD6-4D9C-AC8D-3CE389A33821}"/>
            </c:ext>
          </c:extLst>
        </c:ser>
        <c:ser>
          <c:idx val="1"/>
          <c:order val="1"/>
          <c:tx>
            <c:v>Todo 100 mA 10 ppm SMX 2 uso</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9AD6-4D9C-AC8D-3CE389A33821}"/>
            </c:ext>
          </c:extLst>
        </c:ser>
        <c:ser>
          <c:idx val="2"/>
          <c:order val="2"/>
          <c:tx>
            <c:v>Todo 100 mA 10 ppm SMX 3 uso</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9AD6-4D9C-AC8D-3CE389A33821}"/>
            </c:ext>
          </c:extLst>
        </c:ser>
        <c:dLbls>
          <c:showLegendKey val="0"/>
          <c:showVal val="0"/>
          <c:showCatName val="0"/>
          <c:showSerName val="0"/>
          <c:showPercent val="0"/>
          <c:showBubbleSize val="0"/>
        </c:dLbls>
        <c:axId val="948755280"/>
        <c:axId val="1050916352"/>
      </c:scatterChart>
      <c:valAx>
        <c:axId val="9487552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50916352"/>
        <c:crosses val="autoZero"/>
        <c:crossBetween val="midCat"/>
      </c:valAx>
      <c:valAx>
        <c:axId val="10509163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48755280"/>
        <c:crosses val="autoZero"/>
        <c:crossBetween val="midCat"/>
      </c:valAx>
      <c:spPr>
        <a:noFill/>
        <a:ln>
          <a:noFill/>
        </a:ln>
        <a:effectLst/>
      </c:spPr>
    </c:plotArea>
    <c:legend>
      <c:legendPos val="r"/>
      <c:layout>
        <c:manualLayout>
          <c:xMode val="edge"/>
          <c:yMode val="edge"/>
          <c:x val="0.7655398797476769"/>
          <c:y val="0.30990895669291341"/>
          <c:w val="0.21444761243493718"/>
          <c:h val="0.4430835208098987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25 mA 50 ppm SMX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 25 mA 50 ppm SMX</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AK!$B$15:$B$25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AK!$G$15:$G$25</c:f>
              <c:numCache>
                <c:formatCode>0.00</c:formatCode>
                <c:ptCount val="11"/>
                <c:pt idx="0">
                  <c:v>0</c:v>
                </c:pt>
                <c:pt idx="1">
                  <c:v>4.4869561851679691</c:v>
                </c:pt>
                <c:pt idx="2">
                  <c:v>11.707501161170455</c:v>
                </c:pt>
                <c:pt idx="3">
                  <c:v>21.122658306239344</c:v>
                </c:pt>
                <c:pt idx="4">
                  <c:v>35.922743458739738</c:v>
                </c:pt>
                <c:pt idx="5">
                  <c:v>55.769081901223096</c:v>
                </c:pt>
                <c:pt idx="6">
                  <c:v>61.060148629818855</c:v>
                </c:pt>
                <c:pt idx="7">
                  <c:v>71.408112710945971</c:v>
                </c:pt>
                <c:pt idx="8">
                  <c:v>79.084417092429163</c:v>
                </c:pt>
                <c:pt idx="9">
                  <c:v>87.380980027868091</c:v>
                </c:pt>
                <c:pt idx="10">
                  <c:v>92.820095990091346</c:v>
                </c:pt>
              </c:numCache>
            </c:numRef>
          </c:yVal>
          <c:smooth val="0"/>
          <c:extLst>
            <c:ext xmlns:c16="http://schemas.microsoft.com/office/drawing/2014/chart" uri="{C3380CC4-5D6E-409C-BE32-E72D297353CC}">
              <c16:uniqueId val="{00000000-A8F7-4174-BF35-B8B275197B32}"/>
            </c:ext>
          </c:extLst>
        </c:ser>
        <c:ser>
          <c:idx val="1"/>
          <c:order val="1"/>
          <c:tx>
            <c:v>EF 25 mA 50 ppm SMX</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AF!$B$15:$B$25</c:f>
              <c:numCache>
                <c:formatCode>General</c:formatCode>
                <c:ptCount val="11"/>
                <c:pt idx="0">
                  <c:v>0</c:v>
                </c:pt>
                <c:pt idx="1">
                  <c:v>5</c:v>
                </c:pt>
                <c:pt idx="2">
                  <c:v>15</c:v>
                </c:pt>
                <c:pt idx="3">
                  <c:v>30</c:v>
                </c:pt>
                <c:pt idx="4">
                  <c:v>60</c:v>
                </c:pt>
                <c:pt idx="5">
                  <c:v>90</c:v>
                </c:pt>
                <c:pt idx="6">
                  <c:v>120</c:v>
                </c:pt>
                <c:pt idx="7">
                  <c:v>150</c:v>
                </c:pt>
                <c:pt idx="8">
                  <c:v>180</c:v>
                </c:pt>
                <c:pt idx="9">
                  <c:v>240</c:v>
                </c:pt>
                <c:pt idx="10">
                  <c:v>300</c:v>
                </c:pt>
              </c:numCache>
            </c:numRef>
          </c:xVal>
          <c:yVal>
            <c:numRef>
              <c:f>AF!$G$15:$G$25</c:f>
              <c:numCache>
                <c:formatCode>0.00</c:formatCode>
                <c:ptCount val="11"/>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numCache>
            </c:numRef>
          </c:yVal>
          <c:smooth val="0"/>
          <c:extLst>
            <c:ext xmlns:c16="http://schemas.microsoft.com/office/drawing/2014/chart" uri="{C3380CC4-5D6E-409C-BE32-E72D297353CC}">
              <c16:uniqueId val="{00000001-A8F7-4174-BF35-B8B275197B32}"/>
            </c:ext>
          </c:extLst>
        </c:ser>
        <c:dLbls>
          <c:showLegendKey val="0"/>
          <c:showVal val="0"/>
          <c:showCatName val="0"/>
          <c:showSerName val="0"/>
          <c:showPercent val="0"/>
          <c:showBubbleSize val="0"/>
        </c:dLbls>
        <c:axId val="1047129024"/>
        <c:axId val="989194976"/>
      </c:scatterChart>
      <c:valAx>
        <c:axId val="1047129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89194976"/>
        <c:crosses val="autoZero"/>
        <c:crossBetween val="midCat"/>
      </c:valAx>
      <c:valAx>
        <c:axId val="9891949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47129024"/>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25</a:t>
            </a:r>
            <a:r>
              <a:rPr lang="es-ES" baseline="0"/>
              <a:t> mA 50 ppm ANT</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0.13347725308230518"/>
          <c:y val="0.17413145539906102"/>
          <c:w val="0.58497116587897835"/>
          <c:h val="0.61270747846660001"/>
        </c:manualLayout>
      </c:layout>
      <c:scatterChart>
        <c:scatterStyle val="lineMarker"/>
        <c:varyColors val="0"/>
        <c:ser>
          <c:idx val="0"/>
          <c:order val="0"/>
          <c:tx>
            <c:v>OA 25 mA 50 ppm ANT</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AN!$B$15:$B$25</c:f>
              <c:numCache>
                <c:formatCode>General</c:formatCode>
                <c:ptCount val="11"/>
                <c:pt idx="0">
                  <c:v>0</c:v>
                </c:pt>
                <c:pt idx="1">
                  <c:v>5</c:v>
                </c:pt>
                <c:pt idx="2">
                  <c:v>15</c:v>
                </c:pt>
                <c:pt idx="3">
                  <c:v>30</c:v>
                </c:pt>
                <c:pt idx="4">
                  <c:v>60</c:v>
                </c:pt>
                <c:pt idx="5">
                  <c:v>90</c:v>
                </c:pt>
                <c:pt idx="6">
                  <c:v>120</c:v>
                </c:pt>
                <c:pt idx="7">
                  <c:v>150</c:v>
                </c:pt>
                <c:pt idx="8">
                  <c:v>180</c:v>
                </c:pt>
                <c:pt idx="9">
                  <c:v>240</c:v>
                </c:pt>
                <c:pt idx="10">
                  <c:v>300</c:v>
                </c:pt>
              </c:numCache>
            </c:numRef>
          </c:xVal>
          <c:yVal>
            <c:numRef>
              <c:f>AN!$H$15:$H$25</c:f>
              <c:numCache>
                <c:formatCode>0.00</c:formatCode>
                <c:ptCount val="11"/>
                <c:pt idx="0">
                  <c:v>0</c:v>
                </c:pt>
                <c:pt idx="1">
                  <c:v>4.9531143265230098</c:v>
                </c:pt>
                <c:pt idx="2">
                  <c:v>15.333788735018326</c:v>
                </c:pt>
                <c:pt idx="3">
                  <c:v>18.355585915667881</c:v>
                </c:pt>
                <c:pt idx="4">
                  <c:v>32.956591939390179</c:v>
                </c:pt>
                <c:pt idx="5">
                  <c:v>40.639632366639759</c:v>
                </c:pt>
                <c:pt idx="6">
                  <c:v>54.00732782711296</c:v>
                </c:pt>
                <c:pt idx="7">
                  <c:v>63.922250512326897</c:v>
                </c:pt>
                <c:pt idx="8">
                  <c:v>70.385642426876984</c:v>
                </c:pt>
                <c:pt idx="9">
                  <c:v>81.171210333478243</c:v>
                </c:pt>
                <c:pt idx="10">
                  <c:v>87.065764143327343</c:v>
                </c:pt>
              </c:numCache>
            </c:numRef>
          </c:yVal>
          <c:smooth val="0"/>
          <c:extLst>
            <c:ext xmlns:c16="http://schemas.microsoft.com/office/drawing/2014/chart" uri="{C3380CC4-5D6E-409C-BE32-E72D297353CC}">
              <c16:uniqueId val="{00000000-35CE-47CB-805E-15F02548C93D}"/>
            </c:ext>
          </c:extLst>
        </c:ser>
        <c:ser>
          <c:idx val="1"/>
          <c:order val="1"/>
          <c:tx>
            <c:v>EF 25 mA 50 ppm ANT</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AÑ!$B$15:$B$25</c:f>
              <c:numCache>
                <c:formatCode>General</c:formatCode>
                <c:ptCount val="11"/>
                <c:pt idx="0">
                  <c:v>0</c:v>
                </c:pt>
                <c:pt idx="1">
                  <c:v>5</c:v>
                </c:pt>
                <c:pt idx="2">
                  <c:v>15</c:v>
                </c:pt>
                <c:pt idx="3">
                  <c:v>30</c:v>
                </c:pt>
                <c:pt idx="4">
                  <c:v>60</c:v>
                </c:pt>
                <c:pt idx="5">
                  <c:v>90</c:v>
                </c:pt>
                <c:pt idx="6">
                  <c:v>120</c:v>
                </c:pt>
                <c:pt idx="7">
                  <c:v>150</c:v>
                </c:pt>
                <c:pt idx="8">
                  <c:v>190</c:v>
                </c:pt>
                <c:pt idx="9">
                  <c:v>240</c:v>
                </c:pt>
                <c:pt idx="10">
                  <c:v>300</c:v>
                </c:pt>
              </c:numCache>
            </c:numRef>
          </c:xVal>
          <c:yVal>
            <c:numRef>
              <c:f>AÑ!$H$15:$H$25</c:f>
              <c:numCache>
                <c:formatCode>0.00</c:formatCode>
                <c:ptCount val="11"/>
                <c:pt idx="0">
                  <c:v>0</c:v>
                </c:pt>
                <c:pt idx="1">
                  <c:v>7.691784085494521</c:v>
                </c:pt>
                <c:pt idx="2">
                  <c:v>17.269076305220874</c:v>
                </c:pt>
                <c:pt idx="3">
                  <c:v>34.422435504730785</c:v>
                </c:pt>
                <c:pt idx="4">
                  <c:v>53.924171261316459</c:v>
                </c:pt>
                <c:pt idx="5">
                  <c:v>60.717446055408061</c:v>
                </c:pt>
                <c:pt idx="6">
                  <c:v>67.88509972091758</c:v>
                </c:pt>
                <c:pt idx="7">
                  <c:v>77.496426383500108</c:v>
                </c:pt>
                <c:pt idx="8">
                  <c:v>86.54958818324144</c:v>
                </c:pt>
                <c:pt idx="9">
                  <c:v>92.532843237356204</c:v>
                </c:pt>
                <c:pt idx="10">
                  <c:v>95.800149751548574</c:v>
                </c:pt>
              </c:numCache>
            </c:numRef>
          </c:yVal>
          <c:smooth val="0"/>
          <c:extLst>
            <c:ext xmlns:c16="http://schemas.microsoft.com/office/drawing/2014/chart" uri="{C3380CC4-5D6E-409C-BE32-E72D297353CC}">
              <c16:uniqueId val="{00000001-35CE-47CB-805E-15F02548C93D}"/>
            </c:ext>
          </c:extLst>
        </c:ser>
        <c:dLbls>
          <c:showLegendKey val="0"/>
          <c:showVal val="0"/>
          <c:showCatName val="0"/>
          <c:showSerName val="0"/>
          <c:showPercent val="0"/>
          <c:showBubbleSize val="0"/>
        </c:dLbls>
        <c:axId val="1055571552"/>
        <c:axId val="989151824"/>
      </c:scatterChart>
      <c:valAx>
        <c:axId val="10555715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89151824"/>
        <c:crosses val="autoZero"/>
        <c:crossBetween val="midCat"/>
      </c:valAx>
      <c:valAx>
        <c:axId val="98915182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3.3333333333333333E-2"/>
              <c:y val="0.3193325313502478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55571552"/>
        <c:crosses val="autoZero"/>
        <c:crossBetween val="midCat"/>
      </c:valAx>
      <c:spPr>
        <a:noFill/>
        <a:ln>
          <a:noFill/>
        </a:ln>
        <a:effectLst/>
      </c:spPr>
    </c:plotArea>
    <c:legend>
      <c:legendPos val="r"/>
      <c:layout>
        <c:manualLayout>
          <c:xMode val="edge"/>
          <c:yMode val="edge"/>
          <c:x val="0.74868326330863477"/>
          <c:y val="0.27544527004546965"/>
          <c:w val="0.15737899775089556"/>
          <c:h val="0.3931935972792132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25</a:t>
            </a:r>
            <a:r>
              <a:rPr lang="es-ES" baseline="0"/>
              <a:t> mA 50 ppm ANT</a:t>
            </a:r>
            <a:endParaRPr lang="es-ES"/>
          </a:p>
        </c:rich>
      </c:tx>
      <c:overlay val="0"/>
      <c:spPr>
        <a:noFill/>
        <a:ln>
          <a:noFill/>
        </a:ln>
        <a:effectLst/>
      </c:spPr>
    </c:title>
    <c:autoTitleDeleted val="0"/>
    <c:plotArea>
      <c:layout>
        <c:manualLayout>
          <c:layoutTarget val="inner"/>
          <c:xMode val="edge"/>
          <c:yMode val="edge"/>
          <c:x val="0.13347725308230518"/>
          <c:y val="0.17413145539906102"/>
          <c:w val="0.58497116587897835"/>
          <c:h val="0.61270747846660001"/>
        </c:manualLayout>
      </c:layout>
      <c:scatterChart>
        <c:scatterStyle val="lineMarker"/>
        <c:varyColors val="0"/>
        <c:ser>
          <c:idx val="2"/>
          <c:order val="0"/>
          <c:tx>
            <c:v>OA 25 mA mezcla 50 ppm SMX</c:v>
          </c:tx>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AL!$G$15:$G$25</c:f>
              <c:numCache>
                <c:formatCode>0.00</c:formatCode>
                <c:ptCount val="11"/>
                <c:pt idx="0">
                  <c:v>0</c:v>
                </c:pt>
                <c:pt idx="1">
                  <c:v>5.2249930275723564</c:v>
                </c:pt>
                <c:pt idx="2">
                  <c:v>9.8489147055712234</c:v>
                </c:pt>
                <c:pt idx="3">
                  <c:v>20.019041940354501</c:v>
                </c:pt>
                <c:pt idx="4">
                  <c:v>26.749117627258833</c:v>
                </c:pt>
                <c:pt idx="5">
                  <c:v>36.340292938132933</c:v>
                </c:pt>
                <c:pt idx="6">
                  <c:v>51.407468672161272</c:v>
                </c:pt>
                <c:pt idx="7">
                  <c:v>57.917311816581872</c:v>
                </c:pt>
                <c:pt idx="8">
                  <c:v>65.557169098200632</c:v>
                </c:pt>
                <c:pt idx="9">
                  <c:v>78.649945663150007</c:v>
                </c:pt>
                <c:pt idx="10">
                  <c:v>83.491214741154636</c:v>
                </c:pt>
              </c:numCache>
            </c:numRef>
          </c:yVal>
          <c:smooth val="0"/>
          <c:extLst>
            <c:ext xmlns:c16="http://schemas.microsoft.com/office/drawing/2014/chart" uri="{C3380CC4-5D6E-409C-BE32-E72D297353CC}">
              <c16:uniqueId val="{00000004-BD19-4B18-AFD6-744BDA2CB26D}"/>
            </c:ext>
          </c:extLst>
        </c:ser>
        <c:ser>
          <c:idx val="3"/>
          <c:order val="1"/>
          <c:tx>
            <c:v>OA 25 mA mezcla 50 ppm ANT</c:v>
          </c:tx>
          <c:xVal>
            <c:numRef>
              <c:f>AL!$B$15:$B$25</c:f>
              <c:numCache>
                <c:formatCode>General</c:formatCode>
                <c:ptCount val="11"/>
                <c:pt idx="0">
                  <c:v>0</c:v>
                </c:pt>
                <c:pt idx="1">
                  <c:v>5</c:v>
                </c:pt>
                <c:pt idx="2">
                  <c:v>15</c:v>
                </c:pt>
                <c:pt idx="3">
                  <c:v>30</c:v>
                </c:pt>
                <c:pt idx="4">
                  <c:v>60</c:v>
                </c:pt>
                <c:pt idx="5">
                  <c:v>90</c:v>
                </c:pt>
                <c:pt idx="6">
                  <c:v>120</c:v>
                </c:pt>
                <c:pt idx="7">
                  <c:v>150</c:v>
                </c:pt>
                <c:pt idx="8">
                  <c:v>183</c:v>
                </c:pt>
                <c:pt idx="9">
                  <c:v>240</c:v>
                </c:pt>
                <c:pt idx="10">
                  <c:v>300</c:v>
                </c:pt>
              </c:numCache>
            </c:numRef>
          </c:xVal>
          <c:yVal>
            <c:numRef>
              <c:f>AL!$M$15:$M$25</c:f>
              <c:numCache>
                <c:formatCode>General</c:formatCode>
                <c:ptCount val="11"/>
                <c:pt idx="0">
                  <c:v>0</c:v>
                </c:pt>
                <c:pt idx="1">
                  <c:v>4.3003240300179586</c:v>
                </c:pt>
                <c:pt idx="2">
                  <c:v>9.1884794680607715</c:v>
                </c:pt>
                <c:pt idx="3">
                  <c:v>19.870628907332236</c:v>
                </c:pt>
                <c:pt idx="4">
                  <c:v>26.898105207367173</c:v>
                </c:pt>
                <c:pt idx="5">
                  <c:v>32.139200404736378</c:v>
                </c:pt>
                <c:pt idx="6">
                  <c:v>47.815507667104335</c:v>
                </c:pt>
                <c:pt idx="7">
                  <c:v>52.998783381717004</c:v>
                </c:pt>
                <c:pt idx="8">
                  <c:v>60.918847946806089</c:v>
                </c:pt>
                <c:pt idx="9">
                  <c:v>75.979618632328311</c:v>
                </c:pt>
                <c:pt idx="10">
                  <c:v>81.224327547369825</c:v>
                </c:pt>
              </c:numCache>
            </c:numRef>
          </c:yVal>
          <c:smooth val="0"/>
          <c:extLst>
            <c:ext xmlns:c16="http://schemas.microsoft.com/office/drawing/2014/chart" uri="{C3380CC4-5D6E-409C-BE32-E72D297353CC}">
              <c16:uniqueId val="{00000005-BD19-4B18-AFD6-744BDA2CB26D}"/>
            </c:ext>
          </c:extLst>
        </c:ser>
        <c:ser>
          <c:idx val="4"/>
          <c:order val="2"/>
          <c:tx>
            <c:v>EF 25 mA mezcla 50 ppm SMX</c:v>
          </c:tx>
          <c:xVal>
            <c:numRef>
              <c:f>AM!$B$15:$B$25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AM!$G$15:$G$25</c:f>
              <c:numCache>
                <c:formatCode>0.00</c:formatCode>
                <c:ptCount val="11"/>
                <c:pt idx="0">
                  <c:v>0</c:v>
                </c:pt>
                <c:pt idx="1">
                  <c:v>9.1903762627495063</c:v>
                </c:pt>
                <c:pt idx="2">
                  <c:v>20.309404128641837</c:v>
                </c:pt>
                <c:pt idx="3">
                  <c:v>31.541652432775368</c:v>
                </c:pt>
                <c:pt idx="4">
                  <c:v>51.031184422429355</c:v>
                </c:pt>
                <c:pt idx="5">
                  <c:v>62.923234590795964</c:v>
                </c:pt>
                <c:pt idx="6">
                  <c:v>71.859840905763505</c:v>
                </c:pt>
                <c:pt idx="7">
                  <c:v>79.418281196622914</c:v>
                </c:pt>
                <c:pt idx="8">
                  <c:v>85.655165682494754</c:v>
                </c:pt>
                <c:pt idx="9">
                  <c:v>92.097018203113564</c:v>
                </c:pt>
                <c:pt idx="10">
                  <c:v>94.619101068761893</c:v>
                </c:pt>
              </c:numCache>
            </c:numRef>
          </c:yVal>
          <c:smooth val="0"/>
          <c:extLst>
            <c:ext xmlns:c16="http://schemas.microsoft.com/office/drawing/2014/chart" uri="{C3380CC4-5D6E-409C-BE32-E72D297353CC}">
              <c16:uniqueId val="{00000006-BD19-4B18-AFD6-744BDA2CB26D}"/>
            </c:ext>
          </c:extLst>
        </c:ser>
        <c:ser>
          <c:idx val="5"/>
          <c:order val="3"/>
          <c:tx>
            <c:v>EF 25 mA mezcla 50 ppm ANT</c:v>
          </c:tx>
          <c:xVal>
            <c:numRef>
              <c:f>AM!$B$15:$B$25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AM!$M$15:$M$25</c:f>
              <c:numCache>
                <c:formatCode>0.00</c:formatCode>
                <c:ptCount val="11"/>
                <c:pt idx="0">
                  <c:v>0</c:v>
                </c:pt>
                <c:pt idx="1">
                  <c:v>9.2896108911847151</c:v>
                </c:pt>
                <c:pt idx="2">
                  <c:v>18.084387370860295</c:v>
                </c:pt>
                <c:pt idx="3">
                  <c:v>25.918460944288885</c:v>
                </c:pt>
                <c:pt idx="4">
                  <c:v>42.832142512310519</c:v>
                </c:pt>
                <c:pt idx="5">
                  <c:v>58.01873129284543</c:v>
                </c:pt>
                <c:pt idx="6">
                  <c:v>68.552669691995746</c:v>
                </c:pt>
                <c:pt idx="7">
                  <c:v>77.360722216858164</c:v>
                </c:pt>
                <c:pt idx="8">
                  <c:v>82.28130732837694</c:v>
                </c:pt>
                <c:pt idx="9">
                  <c:v>91.165395384763926</c:v>
                </c:pt>
                <c:pt idx="10">
                  <c:v>92.826107946316512</c:v>
                </c:pt>
              </c:numCache>
            </c:numRef>
          </c:yVal>
          <c:smooth val="0"/>
          <c:extLst>
            <c:ext xmlns:c16="http://schemas.microsoft.com/office/drawing/2014/chart" uri="{C3380CC4-5D6E-409C-BE32-E72D297353CC}">
              <c16:uniqueId val="{00000007-BD19-4B18-AFD6-744BDA2CB26D}"/>
            </c:ext>
          </c:extLst>
        </c:ser>
        <c:ser>
          <c:idx val="0"/>
          <c:order val="4"/>
          <c:tx>
            <c:v>OA 25 mA 50 ppm ANT</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AN!$B$15:$B$25</c:f>
              <c:numCache>
                <c:formatCode>General</c:formatCode>
                <c:ptCount val="11"/>
                <c:pt idx="0">
                  <c:v>0</c:v>
                </c:pt>
                <c:pt idx="1">
                  <c:v>5</c:v>
                </c:pt>
                <c:pt idx="2">
                  <c:v>15</c:v>
                </c:pt>
                <c:pt idx="3">
                  <c:v>30</c:v>
                </c:pt>
                <c:pt idx="4">
                  <c:v>60</c:v>
                </c:pt>
                <c:pt idx="5">
                  <c:v>90</c:v>
                </c:pt>
                <c:pt idx="6">
                  <c:v>120</c:v>
                </c:pt>
                <c:pt idx="7">
                  <c:v>150</c:v>
                </c:pt>
                <c:pt idx="8">
                  <c:v>180</c:v>
                </c:pt>
                <c:pt idx="9">
                  <c:v>240</c:v>
                </c:pt>
                <c:pt idx="10">
                  <c:v>300</c:v>
                </c:pt>
              </c:numCache>
            </c:numRef>
          </c:xVal>
          <c:yVal>
            <c:numRef>
              <c:f>AN!$H$15:$H$25</c:f>
              <c:numCache>
                <c:formatCode>0.00</c:formatCode>
                <c:ptCount val="11"/>
                <c:pt idx="0">
                  <c:v>0</c:v>
                </c:pt>
                <c:pt idx="1">
                  <c:v>4.9531143265230098</c:v>
                </c:pt>
                <c:pt idx="2">
                  <c:v>15.333788735018326</c:v>
                </c:pt>
                <c:pt idx="3">
                  <c:v>18.355585915667881</c:v>
                </c:pt>
                <c:pt idx="4">
                  <c:v>32.956591939390179</c:v>
                </c:pt>
                <c:pt idx="5">
                  <c:v>40.639632366639759</c:v>
                </c:pt>
                <c:pt idx="6">
                  <c:v>54.00732782711296</c:v>
                </c:pt>
                <c:pt idx="7">
                  <c:v>63.922250512326897</c:v>
                </c:pt>
                <c:pt idx="8">
                  <c:v>70.385642426876984</c:v>
                </c:pt>
                <c:pt idx="9">
                  <c:v>81.171210333478243</c:v>
                </c:pt>
                <c:pt idx="10">
                  <c:v>87.065764143327343</c:v>
                </c:pt>
              </c:numCache>
            </c:numRef>
          </c:yVal>
          <c:smooth val="0"/>
          <c:extLst>
            <c:ext xmlns:c16="http://schemas.microsoft.com/office/drawing/2014/chart" uri="{C3380CC4-5D6E-409C-BE32-E72D297353CC}">
              <c16:uniqueId val="{00000001-BD19-4B18-AFD6-744BDA2CB26D}"/>
            </c:ext>
          </c:extLst>
        </c:ser>
        <c:ser>
          <c:idx val="1"/>
          <c:order val="5"/>
          <c:tx>
            <c:v>EF 25 mA 50 ppm ANT</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AÑ!$B$15:$B$25</c:f>
              <c:numCache>
                <c:formatCode>General</c:formatCode>
                <c:ptCount val="11"/>
                <c:pt idx="0">
                  <c:v>0</c:v>
                </c:pt>
                <c:pt idx="1">
                  <c:v>5</c:v>
                </c:pt>
                <c:pt idx="2">
                  <c:v>15</c:v>
                </c:pt>
                <c:pt idx="3">
                  <c:v>30</c:v>
                </c:pt>
                <c:pt idx="4">
                  <c:v>60</c:v>
                </c:pt>
                <c:pt idx="5">
                  <c:v>90</c:v>
                </c:pt>
                <c:pt idx="6">
                  <c:v>120</c:v>
                </c:pt>
                <c:pt idx="7">
                  <c:v>150</c:v>
                </c:pt>
                <c:pt idx="8">
                  <c:v>190</c:v>
                </c:pt>
                <c:pt idx="9">
                  <c:v>240</c:v>
                </c:pt>
                <c:pt idx="10">
                  <c:v>300</c:v>
                </c:pt>
              </c:numCache>
            </c:numRef>
          </c:xVal>
          <c:yVal>
            <c:numRef>
              <c:f>AÑ!$H$15:$H$25</c:f>
              <c:numCache>
                <c:formatCode>0.00</c:formatCode>
                <c:ptCount val="11"/>
                <c:pt idx="0">
                  <c:v>0</c:v>
                </c:pt>
                <c:pt idx="1">
                  <c:v>7.691784085494521</c:v>
                </c:pt>
                <c:pt idx="2">
                  <c:v>17.269076305220874</c:v>
                </c:pt>
                <c:pt idx="3">
                  <c:v>34.422435504730785</c:v>
                </c:pt>
                <c:pt idx="4">
                  <c:v>53.924171261316459</c:v>
                </c:pt>
                <c:pt idx="5">
                  <c:v>60.717446055408061</c:v>
                </c:pt>
                <c:pt idx="6">
                  <c:v>67.88509972091758</c:v>
                </c:pt>
                <c:pt idx="7">
                  <c:v>77.496426383500108</c:v>
                </c:pt>
                <c:pt idx="8">
                  <c:v>86.54958818324144</c:v>
                </c:pt>
                <c:pt idx="9">
                  <c:v>92.532843237356204</c:v>
                </c:pt>
                <c:pt idx="10">
                  <c:v>95.800149751548574</c:v>
                </c:pt>
              </c:numCache>
            </c:numRef>
          </c:yVal>
          <c:smooth val="0"/>
          <c:extLst>
            <c:ext xmlns:c16="http://schemas.microsoft.com/office/drawing/2014/chart" uri="{C3380CC4-5D6E-409C-BE32-E72D297353CC}">
              <c16:uniqueId val="{00000003-BD19-4B18-AFD6-744BDA2CB26D}"/>
            </c:ext>
          </c:extLst>
        </c:ser>
        <c:dLbls>
          <c:showLegendKey val="0"/>
          <c:showVal val="0"/>
          <c:showCatName val="0"/>
          <c:showSerName val="0"/>
          <c:showPercent val="0"/>
          <c:showBubbleSize val="0"/>
        </c:dLbls>
        <c:axId val="1055571552"/>
        <c:axId val="989151824"/>
      </c:scatterChart>
      <c:valAx>
        <c:axId val="10555715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89151824"/>
        <c:crosses val="autoZero"/>
        <c:crossBetween val="midCat"/>
      </c:valAx>
      <c:valAx>
        <c:axId val="98915182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3.3333333333333333E-2"/>
              <c:y val="0.31933253135024786"/>
            </c:manualLayout>
          </c:layout>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55571552"/>
        <c:crosses val="autoZero"/>
        <c:crossBetween val="midCat"/>
      </c:valAx>
    </c:plotArea>
    <c:legend>
      <c:legendPos val="r"/>
      <c:layout>
        <c:manualLayout>
          <c:xMode val="edge"/>
          <c:yMode val="edge"/>
          <c:x val="0.74868326330863477"/>
          <c:y val="0.14788262515021611"/>
          <c:w val="0.25131669763929382"/>
          <c:h val="0.852117374849783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extLst/>
  </c:chart>
  <c:txPr>
    <a:bodyPr/>
    <a:lstStyle/>
    <a:p>
      <a:pPr>
        <a:defRPr/>
      </a:pPr>
      <a:endParaRPr lang="es-ES"/>
    </a:p>
  </c:txPr>
  <c:printSettings>
    <c:headerFooter/>
    <c:pageMargins b="0.75" l="0.7" r="0.7" t="0.75" header="0.3" footer="0.3"/>
    <c:pageSetup/>
  </c:printSettings>
</c:chartSpace>
</file>

<file path=xl/charts/chart1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25</a:t>
            </a:r>
            <a:r>
              <a:rPr lang="es-ES" baseline="0"/>
              <a:t> mA 10 ppm SMX</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0.16972003499562555"/>
          <c:y val="0.17171296296296296"/>
          <c:w val="0.58747331583552054"/>
          <c:h val="0.62271617089530473"/>
        </c:manualLayout>
      </c:layout>
      <c:scatterChart>
        <c:scatterStyle val="lineMarker"/>
        <c:varyColors val="0"/>
        <c:ser>
          <c:idx val="0"/>
          <c:order val="0"/>
          <c:tx>
            <c:v>OA 25 mA 10 ppm SMX</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0-5224-417B-894A-D65389649C60}"/>
            </c:ext>
          </c:extLst>
        </c:ser>
        <c:ser>
          <c:idx val="1"/>
          <c:order val="1"/>
          <c:tx>
            <c:v>EF 25 mA 10 ppm SMX</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1-5224-417B-894A-D65389649C60}"/>
            </c:ext>
          </c:extLst>
        </c:ser>
        <c:ser>
          <c:idx val="2"/>
          <c:order val="2"/>
          <c:tx>
            <c:v>Todo 25 mA 10 ppm SMX</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02-5224-417B-894A-D65389649C60}"/>
            </c:ext>
          </c:extLst>
        </c:ser>
        <c:dLbls>
          <c:showLegendKey val="0"/>
          <c:showVal val="0"/>
          <c:showCatName val="0"/>
          <c:showSerName val="0"/>
          <c:showPercent val="0"/>
          <c:showBubbleSize val="0"/>
        </c:dLbls>
        <c:axId val="618255280"/>
        <c:axId val="1096250144"/>
      </c:scatterChart>
      <c:valAx>
        <c:axId val="6182552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layout>
            <c:manualLayout>
              <c:xMode val="edge"/>
              <c:yMode val="edge"/>
              <c:x val="0.31104680664916884"/>
              <c:y val="0.8879396325459317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96250144"/>
        <c:crosses val="autoZero"/>
        <c:crossBetween val="midCat"/>
      </c:valAx>
      <c:valAx>
        <c:axId val="10962501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18255280"/>
        <c:crosses val="autoZero"/>
        <c:crossBetween val="midCat"/>
      </c:valAx>
      <c:spPr>
        <a:noFill/>
        <a:ln>
          <a:noFill/>
        </a:ln>
        <a:effectLst/>
      </c:spPr>
    </c:plotArea>
    <c:legend>
      <c:legendPos val="r"/>
      <c:layout>
        <c:manualLayout>
          <c:xMode val="edge"/>
          <c:yMode val="edge"/>
          <c:x val="0.7539711286089239"/>
          <c:y val="0.33672353455818027"/>
          <c:w val="0.22380664916885393"/>
          <c:h val="0.336228492271799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25</a:t>
            </a:r>
            <a:r>
              <a:rPr lang="es-ES" baseline="0"/>
              <a:t> mA 25 ppm SMX</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0.16972003499562555"/>
          <c:y val="0.17171296296296296"/>
          <c:w val="0.55413998250218721"/>
          <c:h val="0.62271617089530473"/>
        </c:manualLayout>
      </c:layout>
      <c:scatterChart>
        <c:scatterStyle val="lineMarker"/>
        <c:varyColors val="0"/>
        <c:ser>
          <c:idx val="0"/>
          <c:order val="0"/>
          <c:tx>
            <c:v>OA 25 mA 25 ppm SMX</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'R'!$G$15:$G$25</c:f>
              <c:numCache>
                <c:formatCode>0.00</c:formatCode>
                <c:ptCount val="11"/>
                <c:pt idx="0">
                  <c:v>0</c:v>
                </c:pt>
                <c:pt idx="1">
                  <c:v>6.4092823762693234</c:v>
                </c:pt>
                <c:pt idx="2">
                  <c:v>16.366289334799916</c:v>
                </c:pt>
                <c:pt idx="3">
                  <c:v>28.934807961316572</c:v>
                </c:pt>
                <c:pt idx="4">
                  <c:v>49.854620155358006</c:v>
                </c:pt>
                <c:pt idx="5">
                  <c:v>65.189084043570276</c:v>
                </c:pt>
                <c:pt idx="6">
                  <c:v>76.724085542953731</c:v>
                </c:pt>
                <c:pt idx="7">
                  <c:v>84.871447570067133</c:v>
                </c:pt>
                <c:pt idx="8">
                  <c:v>89.38170047353357</c:v>
                </c:pt>
                <c:pt idx="9">
                  <c:v>93.032669022257082</c:v>
                </c:pt>
                <c:pt idx="10">
                  <c:v>95.669919622528056</c:v>
                </c:pt>
              </c:numCache>
            </c:numRef>
          </c:yVal>
          <c:smooth val="0"/>
          <c:extLst>
            <c:ext xmlns:c16="http://schemas.microsoft.com/office/drawing/2014/chart" uri="{C3380CC4-5D6E-409C-BE32-E72D297353CC}">
              <c16:uniqueId val="{00000000-14BB-4429-8744-14DDFE5D15E5}"/>
            </c:ext>
          </c:extLst>
        </c:ser>
        <c:ser>
          <c:idx val="1"/>
          <c:order val="1"/>
          <c:tx>
            <c:v>EF 25 mA 25 ppm SMX</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S!$B$15:$B$24</c:f>
              <c:numCache>
                <c:formatCode>General</c:formatCode>
                <c:ptCount val="10"/>
                <c:pt idx="0">
                  <c:v>0</c:v>
                </c:pt>
                <c:pt idx="1">
                  <c:v>5</c:v>
                </c:pt>
                <c:pt idx="2">
                  <c:v>15</c:v>
                </c:pt>
                <c:pt idx="3">
                  <c:v>30</c:v>
                </c:pt>
                <c:pt idx="4">
                  <c:v>60</c:v>
                </c:pt>
                <c:pt idx="5">
                  <c:v>90</c:v>
                </c:pt>
                <c:pt idx="6">
                  <c:v>120</c:v>
                </c:pt>
                <c:pt idx="7">
                  <c:v>150</c:v>
                </c:pt>
                <c:pt idx="8">
                  <c:v>180</c:v>
                </c:pt>
                <c:pt idx="9">
                  <c:v>210</c:v>
                </c:pt>
              </c:numCache>
            </c:numRef>
          </c:xVal>
          <c:yVal>
            <c:numRef>
              <c:f>S!$G$15:$G$25</c:f>
              <c:numCache>
                <c:formatCode>0.00</c:formatCode>
                <c:ptCount val="11"/>
                <c:pt idx="0">
                  <c:v>0</c:v>
                </c:pt>
                <c:pt idx="1">
                  <c:v>7.6691491047377491</c:v>
                </c:pt>
                <c:pt idx="2">
                  <c:v>16.883219774996046</c:v>
                </c:pt>
                <c:pt idx="3">
                  <c:v>32.778085881793686</c:v>
                </c:pt>
                <c:pt idx="4">
                  <c:v>61.115512597052756</c:v>
                </c:pt>
                <c:pt idx="5">
                  <c:v>75.493186499762317</c:v>
                </c:pt>
                <c:pt idx="6">
                  <c:v>81.296545713832998</c:v>
                </c:pt>
                <c:pt idx="7">
                  <c:v>85.014260814450964</c:v>
                </c:pt>
                <c:pt idx="8">
                  <c:v>90.409602281730301</c:v>
                </c:pt>
                <c:pt idx="9">
                  <c:v>89.738155601331002</c:v>
                </c:pt>
                <c:pt idx="10">
                  <c:v>93.687608936777053</c:v>
                </c:pt>
              </c:numCache>
            </c:numRef>
          </c:yVal>
          <c:smooth val="0"/>
          <c:extLst>
            <c:ext xmlns:c16="http://schemas.microsoft.com/office/drawing/2014/chart" uri="{C3380CC4-5D6E-409C-BE32-E72D297353CC}">
              <c16:uniqueId val="{00000001-14BB-4429-8744-14DDFE5D15E5}"/>
            </c:ext>
          </c:extLst>
        </c:ser>
        <c:ser>
          <c:idx val="2"/>
          <c:order val="2"/>
          <c:tx>
            <c:v>Todo 25 mA 25 ppm SMX</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AA!$B$15:$B$25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AA!$G$15:$G$25</c:f>
              <c:numCache>
                <c:formatCode>0.00</c:formatCode>
                <c:ptCount val="11"/>
                <c:pt idx="0">
                  <c:v>0</c:v>
                </c:pt>
                <c:pt idx="1">
                  <c:v>10.10774756285274</c:v>
                </c:pt>
                <c:pt idx="2">
                  <c:v>21.663969688597696</c:v>
                </c:pt>
                <c:pt idx="3">
                  <c:v>43.87062398863322</c:v>
                </c:pt>
                <c:pt idx="4">
                  <c:v>68.394048229861468</c:v>
                </c:pt>
                <c:pt idx="5">
                  <c:v>86.715080712002205</c:v>
                </c:pt>
                <c:pt idx="6">
                  <c:v>94.685637605083471</c:v>
                </c:pt>
                <c:pt idx="7">
                  <c:v>96.95504598018708</c:v>
                </c:pt>
                <c:pt idx="8">
                  <c:v>98.817934246359087</c:v>
                </c:pt>
                <c:pt idx="9">
                  <c:v>99.615187275525912</c:v>
                </c:pt>
                <c:pt idx="10">
                  <c:v>99.978292615542486</c:v>
                </c:pt>
              </c:numCache>
            </c:numRef>
          </c:yVal>
          <c:smooth val="0"/>
          <c:extLst>
            <c:ext xmlns:c16="http://schemas.microsoft.com/office/drawing/2014/chart" uri="{C3380CC4-5D6E-409C-BE32-E72D297353CC}">
              <c16:uniqueId val="{00000002-14BB-4429-8744-14DDFE5D15E5}"/>
            </c:ext>
          </c:extLst>
        </c:ser>
        <c:dLbls>
          <c:showLegendKey val="0"/>
          <c:showVal val="0"/>
          <c:showCatName val="0"/>
          <c:showSerName val="0"/>
          <c:showPercent val="0"/>
          <c:showBubbleSize val="0"/>
        </c:dLbls>
        <c:axId val="1055571552"/>
        <c:axId val="1055684976"/>
      </c:scatterChart>
      <c:valAx>
        <c:axId val="10555715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55684976"/>
        <c:crosses val="autoZero"/>
        <c:crossBetween val="midCat"/>
      </c:valAx>
      <c:valAx>
        <c:axId val="10556849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55571552"/>
        <c:crosses val="autoZero"/>
        <c:crossBetween val="midCat"/>
      </c:valAx>
      <c:spPr>
        <a:noFill/>
        <a:ln>
          <a:noFill/>
        </a:ln>
        <a:effectLst/>
      </c:spPr>
    </c:plotArea>
    <c:legend>
      <c:legendPos val="r"/>
      <c:layout>
        <c:manualLayout>
          <c:xMode val="edge"/>
          <c:yMode val="edge"/>
          <c:x val="0.73174890638670165"/>
          <c:y val="0.29968649752114324"/>
          <c:w val="0.25713998250218728"/>
          <c:h val="0.3917840478273549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25 mA</a:t>
            </a:r>
            <a:r>
              <a:rPr lang="es-ES" baseline="0"/>
              <a:t> distintas concentraciones </a:t>
            </a:r>
            <a:r>
              <a:rPr lang="es-ES"/>
              <a:t>SMX</a:t>
            </a:r>
          </a:p>
        </c:rich>
      </c:tx>
      <c:layout>
        <c:manualLayout>
          <c:xMode val="edge"/>
          <c:yMode val="edge"/>
          <c:x val="0.41919898593167521"/>
          <c:y val="2.5263157894736842E-2"/>
        </c:manualLayout>
      </c:layout>
      <c:overlay val="0"/>
      <c:spPr>
        <a:noFill/>
        <a:ln>
          <a:noFill/>
        </a:ln>
        <a:effectLst/>
      </c:spPr>
    </c:title>
    <c:autoTitleDeleted val="0"/>
    <c:plotArea>
      <c:layout/>
      <c:scatterChart>
        <c:scatterStyle val="lineMarker"/>
        <c:varyColors val="0"/>
        <c:ser>
          <c:idx val="2"/>
          <c:order val="0"/>
          <c:tx>
            <c:v>OA 25 mA 25 ppm SMX</c:v>
          </c:tx>
          <c:xVal>
            <c:numRef>
              <c:f>'R'!$B$15:$B$25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'R'!$G$15:$G$25</c:f>
              <c:numCache>
                <c:formatCode>0.00</c:formatCode>
                <c:ptCount val="11"/>
                <c:pt idx="0">
                  <c:v>0</c:v>
                </c:pt>
                <c:pt idx="1">
                  <c:v>6.4092823762693234</c:v>
                </c:pt>
                <c:pt idx="2">
                  <c:v>16.366289334799916</c:v>
                </c:pt>
                <c:pt idx="3">
                  <c:v>28.934807961316572</c:v>
                </c:pt>
                <c:pt idx="4">
                  <c:v>49.854620155358006</c:v>
                </c:pt>
                <c:pt idx="5">
                  <c:v>65.189084043570276</c:v>
                </c:pt>
                <c:pt idx="6">
                  <c:v>76.724085542953731</c:v>
                </c:pt>
                <c:pt idx="7">
                  <c:v>84.871447570067133</c:v>
                </c:pt>
                <c:pt idx="8">
                  <c:v>89.38170047353357</c:v>
                </c:pt>
                <c:pt idx="9">
                  <c:v>93.032669022257082</c:v>
                </c:pt>
                <c:pt idx="10">
                  <c:v>95.669919622528056</c:v>
                </c:pt>
              </c:numCache>
            </c:numRef>
          </c:yVal>
          <c:smooth val="0"/>
          <c:extLst>
            <c:ext xmlns:c16="http://schemas.microsoft.com/office/drawing/2014/chart" uri="{C3380CC4-5D6E-409C-BE32-E72D297353CC}">
              <c16:uniqueId val="{00000010-1464-43F3-9A4E-0D242F3A3FA7}"/>
            </c:ext>
          </c:extLst>
        </c:ser>
        <c:ser>
          <c:idx val="3"/>
          <c:order val="1"/>
          <c:tx>
            <c:v>EF 25 mA 25 ppm SMX</c:v>
          </c:tx>
          <c:xVal>
            <c:numRef>
              <c:f>S!$B$15:$B$24</c:f>
              <c:numCache>
                <c:formatCode>General</c:formatCode>
                <c:ptCount val="10"/>
                <c:pt idx="0">
                  <c:v>0</c:v>
                </c:pt>
                <c:pt idx="1">
                  <c:v>5</c:v>
                </c:pt>
                <c:pt idx="2">
                  <c:v>15</c:v>
                </c:pt>
                <c:pt idx="3">
                  <c:v>30</c:v>
                </c:pt>
                <c:pt idx="4">
                  <c:v>60</c:v>
                </c:pt>
                <c:pt idx="5">
                  <c:v>90</c:v>
                </c:pt>
                <c:pt idx="6">
                  <c:v>120</c:v>
                </c:pt>
                <c:pt idx="7">
                  <c:v>150</c:v>
                </c:pt>
                <c:pt idx="8">
                  <c:v>180</c:v>
                </c:pt>
                <c:pt idx="9">
                  <c:v>210</c:v>
                </c:pt>
              </c:numCache>
            </c:numRef>
          </c:xVal>
          <c:yVal>
            <c:numRef>
              <c:f>S!$G$15:$G$25</c:f>
              <c:numCache>
                <c:formatCode>0.00</c:formatCode>
                <c:ptCount val="11"/>
                <c:pt idx="0">
                  <c:v>0</c:v>
                </c:pt>
                <c:pt idx="1">
                  <c:v>7.6691491047377491</c:v>
                </c:pt>
                <c:pt idx="2">
                  <c:v>16.883219774996046</c:v>
                </c:pt>
                <c:pt idx="3">
                  <c:v>32.778085881793686</c:v>
                </c:pt>
                <c:pt idx="4">
                  <c:v>61.115512597052756</c:v>
                </c:pt>
                <c:pt idx="5">
                  <c:v>75.493186499762317</c:v>
                </c:pt>
                <c:pt idx="6">
                  <c:v>81.296545713832998</c:v>
                </c:pt>
                <c:pt idx="7">
                  <c:v>85.014260814450964</c:v>
                </c:pt>
                <c:pt idx="8">
                  <c:v>90.409602281730301</c:v>
                </c:pt>
                <c:pt idx="9">
                  <c:v>89.738155601331002</c:v>
                </c:pt>
                <c:pt idx="10">
                  <c:v>93.687608936777053</c:v>
                </c:pt>
              </c:numCache>
            </c:numRef>
          </c:yVal>
          <c:smooth val="0"/>
          <c:extLst>
            <c:ext xmlns:c16="http://schemas.microsoft.com/office/drawing/2014/chart" uri="{C3380CC4-5D6E-409C-BE32-E72D297353CC}">
              <c16:uniqueId val="{00000011-1464-43F3-9A4E-0D242F3A3FA7}"/>
            </c:ext>
          </c:extLst>
        </c:ser>
        <c:ser>
          <c:idx val="4"/>
          <c:order val="2"/>
          <c:tx>
            <c:v>Todo 25 mA 25 ppm SMX</c:v>
          </c:tx>
          <c:xVal>
            <c:numRef>
              <c:f>AA!$B$15:$B$25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AA!$G$15:$G$25</c:f>
              <c:numCache>
                <c:formatCode>0.00</c:formatCode>
                <c:ptCount val="11"/>
                <c:pt idx="0">
                  <c:v>0</c:v>
                </c:pt>
                <c:pt idx="1">
                  <c:v>10.10774756285274</c:v>
                </c:pt>
                <c:pt idx="2">
                  <c:v>21.663969688597696</c:v>
                </c:pt>
                <c:pt idx="3">
                  <c:v>43.87062398863322</c:v>
                </c:pt>
                <c:pt idx="4">
                  <c:v>68.394048229861468</c:v>
                </c:pt>
                <c:pt idx="5">
                  <c:v>86.715080712002205</c:v>
                </c:pt>
                <c:pt idx="6">
                  <c:v>94.685637605083471</c:v>
                </c:pt>
                <c:pt idx="7">
                  <c:v>96.95504598018708</c:v>
                </c:pt>
                <c:pt idx="8">
                  <c:v>98.817934246359087</c:v>
                </c:pt>
                <c:pt idx="9">
                  <c:v>99.615187275525912</c:v>
                </c:pt>
                <c:pt idx="10">
                  <c:v>99.978292615542486</c:v>
                </c:pt>
              </c:numCache>
            </c:numRef>
          </c:yVal>
          <c:smooth val="0"/>
          <c:extLst>
            <c:ext xmlns:c16="http://schemas.microsoft.com/office/drawing/2014/chart" uri="{C3380CC4-5D6E-409C-BE32-E72D297353CC}">
              <c16:uniqueId val="{00000012-1464-43F3-9A4E-0D242F3A3FA7}"/>
            </c:ext>
          </c:extLst>
        </c:ser>
        <c:ser>
          <c:idx val="5"/>
          <c:order val="3"/>
          <c:tx>
            <c:v>OA 25 mA 10 ppm SMX</c:v>
          </c:tx>
          <c:spPr>
            <a:ln w="19050" cap="rnd">
              <a:solidFill>
                <a:schemeClr val="accent1"/>
              </a:solidFill>
              <a:round/>
            </a:ln>
            <a:effectLst/>
          </c:spP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13-1464-43F3-9A4E-0D242F3A3FA7}"/>
            </c:ext>
          </c:extLst>
        </c:ser>
        <c:ser>
          <c:idx val="6"/>
          <c:order val="4"/>
          <c:tx>
            <c:v>EF 25 mA 10 ppm SMX</c:v>
          </c:tx>
          <c:spPr>
            <a:ln w="19050" cap="rnd">
              <a:solidFill>
                <a:schemeClr val="accent2"/>
              </a:solidFill>
              <a:round/>
            </a:ln>
            <a:effectLst/>
          </c:spP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14-1464-43F3-9A4E-0D242F3A3FA7}"/>
            </c:ext>
          </c:extLst>
        </c:ser>
        <c:ser>
          <c:idx val="7"/>
          <c:order val="5"/>
          <c:tx>
            <c:v>Todo 25 mA 10 ppm SMX</c:v>
          </c:tx>
          <c:spPr>
            <a:ln w="19050" cap="rnd">
              <a:solidFill>
                <a:schemeClr val="accent3"/>
              </a:solidFill>
              <a:round/>
            </a:ln>
            <a:effectLst/>
          </c:spP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15-1464-43F3-9A4E-0D242F3A3FA7}"/>
            </c:ext>
          </c:extLst>
        </c:ser>
        <c:ser>
          <c:idx val="0"/>
          <c:order val="6"/>
          <c:tx>
            <c:v>OA 25 mA 50 ppm SMX</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AK!$B$15:$B$25</c:f>
              <c:numCache>
                <c:formatCode>General</c:formatCode>
                <c:ptCount val="11"/>
                <c:pt idx="0">
                  <c:v>0</c:v>
                </c:pt>
                <c:pt idx="1">
                  <c:v>5</c:v>
                </c:pt>
                <c:pt idx="2">
                  <c:v>15</c:v>
                </c:pt>
                <c:pt idx="3">
                  <c:v>30</c:v>
                </c:pt>
                <c:pt idx="4">
                  <c:v>60</c:v>
                </c:pt>
                <c:pt idx="5">
                  <c:v>90</c:v>
                </c:pt>
                <c:pt idx="6">
                  <c:v>120</c:v>
                </c:pt>
                <c:pt idx="7">
                  <c:v>150</c:v>
                </c:pt>
                <c:pt idx="8">
                  <c:v>180</c:v>
                </c:pt>
                <c:pt idx="9">
                  <c:v>246</c:v>
                </c:pt>
                <c:pt idx="10">
                  <c:v>300</c:v>
                </c:pt>
              </c:numCache>
            </c:numRef>
          </c:xVal>
          <c:yVal>
            <c:numRef>
              <c:f>AK!$G$15:$G$25</c:f>
              <c:numCache>
                <c:formatCode>0.00</c:formatCode>
                <c:ptCount val="11"/>
                <c:pt idx="0">
                  <c:v>0</c:v>
                </c:pt>
                <c:pt idx="1">
                  <c:v>4.4869561851679691</c:v>
                </c:pt>
                <c:pt idx="2">
                  <c:v>11.707501161170455</c:v>
                </c:pt>
                <c:pt idx="3">
                  <c:v>21.122658306239344</c:v>
                </c:pt>
                <c:pt idx="4">
                  <c:v>35.922743458739738</c:v>
                </c:pt>
                <c:pt idx="5">
                  <c:v>55.769081901223096</c:v>
                </c:pt>
                <c:pt idx="6">
                  <c:v>61.060148629818855</c:v>
                </c:pt>
                <c:pt idx="7">
                  <c:v>71.408112710945971</c:v>
                </c:pt>
                <c:pt idx="8">
                  <c:v>79.084417092429163</c:v>
                </c:pt>
                <c:pt idx="9">
                  <c:v>87.380980027868091</c:v>
                </c:pt>
                <c:pt idx="10">
                  <c:v>92.820095990091346</c:v>
                </c:pt>
              </c:numCache>
            </c:numRef>
          </c:yVal>
          <c:smooth val="0"/>
          <c:extLst>
            <c:ext xmlns:c16="http://schemas.microsoft.com/office/drawing/2014/chart" uri="{C3380CC4-5D6E-409C-BE32-E72D297353CC}">
              <c16:uniqueId val="{0000000D-1464-43F3-9A4E-0D242F3A3FA7}"/>
            </c:ext>
          </c:extLst>
        </c:ser>
        <c:ser>
          <c:idx val="1"/>
          <c:order val="7"/>
          <c:tx>
            <c:v>EF 25 mA 50 ppm SMX</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AF!$B$15:$B$25</c:f>
              <c:numCache>
                <c:formatCode>General</c:formatCode>
                <c:ptCount val="11"/>
                <c:pt idx="0">
                  <c:v>0</c:v>
                </c:pt>
                <c:pt idx="1">
                  <c:v>5</c:v>
                </c:pt>
                <c:pt idx="2">
                  <c:v>15</c:v>
                </c:pt>
                <c:pt idx="3">
                  <c:v>30</c:v>
                </c:pt>
                <c:pt idx="4">
                  <c:v>60</c:v>
                </c:pt>
                <c:pt idx="5">
                  <c:v>90</c:v>
                </c:pt>
                <c:pt idx="6">
                  <c:v>120</c:v>
                </c:pt>
                <c:pt idx="7">
                  <c:v>150</c:v>
                </c:pt>
                <c:pt idx="8">
                  <c:v>180</c:v>
                </c:pt>
                <c:pt idx="9">
                  <c:v>240</c:v>
                </c:pt>
                <c:pt idx="10">
                  <c:v>300</c:v>
                </c:pt>
              </c:numCache>
            </c:numRef>
          </c:xVal>
          <c:yVal>
            <c:numRef>
              <c:f>AF!$G$15:$G$25</c:f>
              <c:numCache>
                <c:formatCode>0.00</c:formatCode>
                <c:ptCount val="11"/>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pt idx="10">
                  <c:v>99.225406661502717</c:v>
                </c:pt>
              </c:numCache>
            </c:numRef>
          </c:yVal>
          <c:smooth val="0"/>
          <c:extLst>
            <c:ext xmlns:c16="http://schemas.microsoft.com/office/drawing/2014/chart" uri="{C3380CC4-5D6E-409C-BE32-E72D297353CC}">
              <c16:uniqueId val="{0000000F-1464-43F3-9A4E-0D242F3A3FA7}"/>
            </c:ext>
          </c:extLst>
        </c:ser>
        <c:dLbls>
          <c:showLegendKey val="0"/>
          <c:showVal val="0"/>
          <c:showCatName val="0"/>
          <c:showSerName val="0"/>
          <c:showPercent val="0"/>
          <c:showBubbleSize val="0"/>
        </c:dLbls>
        <c:axId val="1047129024"/>
        <c:axId val="989194976"/>
      </c:scatterChart>
      <c:valAx>
        <c:axId val="1047129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89194976"/>
        <c:crosses val="autoZero"/>
        <c:crossBetween val="midCat"/>
      </c:valAx>
      <c:valAx>
        <c:axId val="9891949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47129024"/>
        <c:crosses val="autoZero"/>
        <c:crossBetween val="midCat"/>
      </c:valAx>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extLst/>
  </c:chart>
  <c:txPr>
    <a:bodyPr/>
    <a:lstStyle/>
    <a:p>
      <a:pPr>
        <a:defRPr/>
      </a:pPr>
      <a:endParaRPr lang="es-ES"/>
    </a:p>
  </c:txPr>
  <c:printSettings>
    <c:headerFooter/>
    <c:pageMargins b="0.75" l="0.7" r="0.7" t="0.75" header="0.3" footer="0.3"/>
    <c:pageSetup/>
  </c:printSettings>
</c:chartSpace>
</file>

<file path=xl/charts/chart1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25</a:t>
            </a:r>
            <a:r>
              <a:rPr lang="es-ES" baseline="0"/>
              <a:t> mA 10 ppm SMX</a:t>
            </a:r>
            <a:endParaRPr lang="es-ES"/>
          </a:p>
        </c:rich>
      </c:tx>
      <c:overlay val="0"/>
      <c:spPr>
        <a:noFill/>
        <a:ln>
          <a:noFill/>
        </a:ln>
        <a:effectLst/>
      </c:spPr>
    </c:title>
    <c:autoTitleDeleted val="0"/>
    <c:plotArea>
      <c:layout>
        <c:manualLayout>
          <c:layoutTarget val="inner"/>
          <c:xMode val="edge"/>
          <c:yMode val="edge"/>
          <c:x val="0.16972003499562555"/>
          <c:y val="0.17171296296296296"/>
          <c:w val="0.58747331583552054"/>
          <c:h val="0.62271617089530473"/>
        </c:manualLayout>
      </c:layout>
      <c:scatterChart>
        <c:scatterStyle val="lineMarker"/>
        <c:varyColors val="0"/>
        <c:ser>
          <c:idx val="3"/>
          <c:order val="0"/>
          <c:tx>
            <c:v>Todo 100 mA 10 ppm SMX 1 uso</c:v>
          </c:tx>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9-152C-4CBD-86A9-96DB40586099}"/>
            </c:ext>
          </c:extLst>
        </c:ser>
        <c:ser>
          <c:idx val="0"/>
          <c:order val="3"/>
          <c:tx>
            <c:v>OA 25 mA 10 ppm SMX</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4-152C-4CBD-86A9-96DB40586099}"/>
            </c:ext>
          </c:extLst>
        </c:ser>
        <c:ser>
          <c:idx val="1"/>
          <c:order val="4"/>
          <c:tx>
            <c:v>EF 25 mA 10 ppm SMX</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6-152C-4CBD-86A9-96DB40586099}"/>
            </c:ext>
          </c:extLst>
        </c:ser>
        <c:ser>
          <c:idx val="2"/>
          <c:order val="5"/>
          <c:tx>
            <c:v>Todo 25 mA 10 ppm SMX</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08-152C-4CBD-86A9-96DB40586099}"/>
            </c:ext>
          </c:extLst>
        </c:ser>
        <c:dLbls>
          <c:showLegendKey val="0"/>
          <c:showVal val="0"/>
          <c:showCatName val="0"/>
          <c:showSerName val="0"/>
          <c:showPercent val="0"/>
          <c:showBubbleSize val="0"/>
        </c:dLbls>
        <c:axId val="618255280"/>
        <c:axId val="1096250144"/>
        <c:extLst>
          <c:ext xmlns:c15="http://schemas.microsoft.com/office/drawing/2012/chart" uri="{02D57815-91ED-43cb-92C2-25804820EDAC}">
            <c15:filteredScatterSeries>
              <c15:ser>
                <c:idx val="4"/>
                <c:order val="1"/>
                <c:tx>
                  <c:v>Todo 100 mA 10 ppm SMX 2 uso</c:v>
                </c:tx>
                <c:xVal>
                  <c:numRef>
                    <c:extLst>
                      <c:ext uri="{02D57815-91ED-43cb-92C2-25804820EDAC}">
                        <c15:formulaRef>
                          <c15:sqref>L!$B$39:$B$45</c15:sqref>
                        </c15:formulaRef>
                      </c:ext>
                    </c:extLst>
                    <c:numCache>
                      <c:formatCode>General</c:formatCode>
                      <c:ptCount val="7"/>
                      <c:pt idx="0">
                        <c:v>0</c:v>
                      </c:pt>
                      <c:pt idx="1">
                        <c:v>5</c:v>
                      </c:pt>
                      <c:pt idx="2">
                        <c:v>15</c:v>
                      </c:pt>
                      <c:pt idx="3">
                        <c:v>30</c:v>
                      </c:pt>
                      <c:pt idx="4">
                        <c:v>45</c:v>
                      </c:pt>
                      <c:pt idx="5">
                        <c:v>60</c:v>
                      </c:pt>
                      <c:pt idx="6">
                        <c:v>90</c:v>
                      </c:pt>
                    </c:numCache>
                  </c:numRef>
                </c:xVal>
                <c:yVal>
                  <c:numRef>
                    <c:extLst>
                      <c:ext uri="{02D57815-91ED-43cb-92C2-25804820EDAC}">
                        <c15:formulaRef>
                          <c15:sqref>L!$G$39:$G$45</c15:sqref>
                        </c15:formulaRef>
                      </c:ext>
                    </c:extLst>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A-152C-4CBD-86A9-96DB40586099}"/>
                  </c:ext>
                </c:extLst>
              </c15:ser>
            </c15:filteredScatterSeries>
            <c15:filteredScatterSeries>
              <c15:ser>
                <c:idx val="5"/>
                <c:order val="2"/>
                <c:tx>
                  <c:v>Todo 100 mA 10 ppm SMX 3 uso</c:v>
                </c:tx>
                <c:xVal>
                  <c:numRef>
                    <c:extLst xmlns:c15="http://schemas.microsoft.com/office/drawing/2012/chart">
                      <c:ext xmlns:c15="http://schemas.microsoft.com/office/drawing/2012/chart" uri="{02D57815-91ED-43cb-92C2-25804820EDAC}">
                        <c15:formulaRef>
                          <c15:sqref>L!$B$62:$B$68</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L!$G$62:$G$68</c15:sqref>
                        </c15:formulaRef>
                      </c:ext>
                    </c:extLst>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xmlns:c15="http://schemas.microsoft.com/office/drawing/2012/chart">
                  <c:ext xmlns:c16="http://schemas.microsoft.com/office/drawing/2014/chart" uri="{C3380CC4-5D6E-409C-BE32-E72D297353CC}">
                    <c16:uniqueId val="{0000000B-152C-4CBD-86A9-96DB40586099}"/>
                  </c:ext>
                </c:extLst>
              </c15:ser>
            </c15:filteredScatterSeries>
          </c:ext>
        </c:extLst>
      </c:scatterChart>
      <c:valAx>
        <c:axId val="6182552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layout>
            <c:manualLayout>
              <c:xMode val="edge"/>
              <c:yMode val="edge"/>
              <c:x val="0.31104680664916884"/>
              <c:y val="0.88793963254593178"/>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96250144"/>
        <c:crosses val="autoZero"/>
        <c:crossBetween val="midCat"/>
      </c:valAx>
      <c:valAx>
        <c:axId val="109625014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18255280"/>
        <c:crosses val="autoZero"/>
        <c:crossBetween val="midCat"/>
      </c:valAx>
    </c:plotArea>
    <c:legend>
      <c:legendPos val="r"/>
      <c:layout>
        <c:manualLayout>
          <c:xMode val="edge"/>
          <c:yMode val="edge"/>
          <c:x val="0.77289864792137586"/>
          <c:y val="0.20437065771190366"/>
          <c:w val="0.22380664916885393"/>
          <c:h val="0.567846225104214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extLst/>
  </c:chart>
  <c:txPr>
    <a:bodyPr/>
    <a:lstStyle/>
    <a:p>
      <a:pPr>
        <a:defRPr/>
      </a:pPr>
      <a:endParaRPr lang="es-E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08C8-4BD2-8C2C-8E2D374D0487}"/>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08C8-4BD2-8C2C-8E2D374D0487}"/>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Repetición</a:t>
            </a:r>
            <a:r>
              <a:rPr lang="es-ES" baseline="0"/>
              <a:t> OA + Fibra MOF-Fe</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J!$B$15:$B$21</c:f>
              <c:numCache>
                <c:formatCode>General</c:formatCode>
                <c:ptCount val="7"/>
                <c:pt idx="0">
                  <c:v>0</c:v>
                </c:pt>
                <c:pt idx="1">
                  <c:v>5</c:v>
                </c:pt>
                <c:pt idx="2">
                  <c:v>15</c:v>
                </c:pt>
                <c:pt idx="3">
                  <c:v>30</c:v>
                </c:pt>
                <c:pt idx="4">
                  <c:v>45</c:v>
                </c:pt>
                <c:pt idx="5">
                  <c:v>60</c:v>
                </c:pt>
                <c:pt idx="6">
                  <c:v>90</c:v>
                </c:pt>
              </c:numCache>
            </c:numRef>
          </c:xVal>
          <c:yVal>
            <c:numRef>
              <c:f>J!$F$15:$F$21</c:f>
              <c:numCache>
                <c:formatCode>0.00</c:formatCode>
                <c:ptCount val="7"/>
                <c:pt idx="0">
                  <c:v>9.5815690024131506</c:v>
                </c:pt>
                <c:pt idx="1">
                  <c:v>6.874743887447071</c:v>
                </c:pt>
                <c:pt idx="2">
                  <c:v>5.7920138414606379</c:v>
                </c:pt>
                <c:pt idx="3">
                  <c:v>3.4539908027136548</c:v>
                </c:pt>
                <c:pt idx="4">
                  <c:v>3.51090470336475</c:v>
                </c:pt>
                <c:pt idx="5">
                  <c:v>2.9877521285798845</c:v>
                </c:pt>
                <c:pt idx="6">
                  <c:v>1.9250557756226381</c:v>
                </c:pt>
              </c:numCache>
            </c:numRef>
          </c:yVal>
          <c:smooth val="0"/>
          <c:extLst>
            <c:ext xmlns:c16="http://schemas.microsoft.com/office/drawing/2014/chart" uri="{C3380CC4-5D6E-409C-BE32-E72D297353CC}">
              <c16:uniqueId val="{00000000-B37D-4FF0-AF4F-EACA6B84F2E2}"/>
            </c:ext>
          </c:extLst>
        </c:ser>
        <c:dLbls>
          <c:showLegendKey val="0"/>
          <c:showVal val="0"/>
          <c:showCatName val="0"/>
          <c:showSerName val="0"/>
          <c:showPercent val="0"/>
          <c:showBubbleSize val="0"/>
        </c:dLbls>
        <c:axId val="1204696464"/>
        <c:axId val="1204697424"/>
      </c:scatterChart>
      <c:valAx>
        <c:axId val="1204696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Repetición</a:t>
            </a:r>
            <a:r>
              <a:rPr lang="es-ES" baseline="0"/>
              <a:t> OA + Fibra MOF-Fe </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J!$B$15:$B$21</c:f>
              <c:numCache>
                <c:formatCode>General</c:formatCode>
                <c:ptCount val="7"/>
                <c:pt idx="0">
                  <c:v>0</c:v>
                </c:pt>
                <c:pt idx="1">
                  <c:v>5</c:v>
                </c:pt>
                <c:pt idx="2">
                  <c:v>15</c:v>
                </c:pt>
                <c:pt idx="3">
                  <c:v>30</c:v>
                </c:pt>
                <c:pt idx="4">
                  <c:v>45</c:v>
                </c:pt>
                <c:pt idx="5">
                  <c:v>60</c:v>
                </c:pt>
                <c:pt idx="6">
                  <c:v>90</c:v>
                </c:pt>
              </c:numCache>
            </c:numRef>
          </c:xVal>
          <c:yVal>
            <c:numRef>
              <c:f>J!$G$15:$G$21</c:f>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c:ext xmlns:c16="http://schemas.microsoft.com/office/drawing/2014/chart" uri="{C3380CC4-5D6E-409C-BE32-E72D297353CC}">
              <c16:uniqueId val="{00000000-9BD9-4F03-A959-325C784F2166}"/>
            </c:ext>
          </c:extLst>
        </c:ser>
        <c:dLbls>
          <c:showLegendKey val="0"/>
          <c:showVal val="0"/>
          <c:showCatName val="0"/>
          <c:showSerName val="0"/>
          <c:showPercent val="0"/>
          <c:showBubbleSize val="0"/>
        </c:dLbls>
        <c:axId val="1204745904"/>
        <c:axId val="1204746384"/>
      </c:scatterChart>
      <c:valAx>
        <c:axId val="12047459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Recta</a:t>
            </a:r>
            <a:r>
              <a:rPr lang="es-ES" baseline="0"/>
              <a:t> Calibrado SMX Columna Nueva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trendline>
            <c:spPr>
              <a:ln w="19050" cap="rnd">
                <a:solidFill>
                  <a:schemeClr val="accent1"/>
                </a:solidFill>
                <a:prstDash val="sysDot"/>
              </a:ln>
              <a:effectLst/>
            </c:spPr>
            <c:trendlineType val="linear"/>
            <c:intercept val="0"/>
            <c:dispRSqr val="1"/>
            <c:dispEq val="1"/>
            <c:trendlineLbl>
              <c:layout>
                <c:manualLayout>
                  <c:x val="0.14592818897637785"/>
                  <c:y val="9.9365079365079365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'Calibrado SMX '!$C$9:$C$18</c:f>
              <c:numCache>
                <c:formatCode>0.00</c:formatCode>
                <c:ptCount val="10"/>
                <c:pt idx="0">
                  <c:v>0.5</c:v>
                </c:pt>
                <c:pt idx="1">
                  <c:v>1</c:v>
                </c:pt>
                <c:pt idx="2">
                  <c:v>1.5</c:v>
                </c:pt>
                <c:pt idx="3">
                  <c:v>2</c:v>
                </c:pt>
                <c:pt idx="4">
                  <c:v>2.5</c:v>
                </c:pt>
                <c:pt idx="5">
                  <c:v>4</c:v>
                </c:pt>
                <c:pt idx="6">
                  <c:v>5</c:v>
                </c:pt>
                <c:pt idx="7">
                  <c:v>7</c:v>
                </c:pt>
                <c:pt idx="8">
                  <c:v>8.5</c:v>
                </c:pt>
                <c:pt idx="9">
                  <c:v>10</c:v>
                </c:pt>
              </c:numCache>
            </c:numRef>
          </c:xVal>
          <c:yVal>
            <c:numRef>
              <c:f>'Calibrado SMX '!$B$9:$B$18</c:f>
              <c:numCache>
                <c:formatCode>General</c:formatCode>
                <c:ptCount val="10"/>
                <c:pt idx="0">
                  <c:v>99.7</c:v>
                </c:pt>
                <c:pt idx="1">
                  <c:v>203.7</c:v>
                </c:pt>
                <c:pt idx="2">
                  <c:v>290.7</c:v>
                </c:pt>
                <c:pt idx="3">
                  <c:v>399.2</c:v>
                </c:pt>
                <c:pt idx="4">
                  <c:v>511.6</c:v>
                </c:pt>
                <c:pt idx="5">
                  <c:v>843.5</c:v>
                </c:pt>
                <c:pt idx="6">
                  <c:v>1066.2</c:v>
                </c:pt>
                <c:pt idx="7">
                  <c:v>1495.1</c:v>
                </c:pt>
                <c:pt idx="8">
                  <c:v>1854.5</c:v>
                </c:pt>
                <c:pt idx="9">
                  <c:v>2291.6999999999998</c:v>
                </c:pt>
              </c:numCache>
            </c:numRef>
          </c:yVal>
          <c:smooth val="0"/>
          <c:extLst>
            <c:ext xmlns:c16="http://schemas.microsoft.com/office/drawing/2014/chart" uri="{C3380CC4-5D6E-409C-BE32-E72D297353CC}">
              <c16:uniqueId val="{00000002-D4E5-4801-8599-D829076FD25F}"/>
            </c:ext>
          </c:extLst>
        </c:ser>
        <c:dLbls>
          <c:showLegendKey val="0"/>
          <c:showVal val="0"/>
          <c:showCatName val="0"/>
          <c:showSerName val="0"/>
          <c:showPercent val="0"/>
          <c:showBubbleSize val="0"/>
        </c:dLbls>
        <c:axId val="1036800576"/>
        <c:axId val="1036782336"/>
      </c:scatterChart>
      <c:valAx>
        <c:axId val="10368005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82336"/>
        <c:crosses val="autoZero"/>
        <c:crossBetween val="midCat"/>
      </c:valAx>
      <c:valAx>
        <c:axId val="103678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Área</a:t>
                </a:r>
              </a:p>
            </c:rich>
          </c:tx>
          <c:layout>
            <c:manualLayout>
              <c:xMode val="edge"/>
              <c:yMode val="edge"/>
              <c:x val="1.8666666666666668E-2"/>
              <c:y val="0.4311828878533039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8005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Exp</a:t>
            </a:r>
            <a:r>
              <a:rPr lang="es-ES" baseline="0"/>
              <a:t> X</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K!$G$14:$G$20</c:f>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c:ext xmlns:c16="http://schemas.microsoft.com/office/drawing/2014/chart" uri="{C3380CC4-5D6E-409C-BE32-E72D297353CC}">
              <c16:uniqueId val="{00000000-0A4E-4E0E-88F7-6823E9E5DADE}"/>
            </c:ext>
          </c:extLst>
        </c:ser>
        <c:dLbls>
          <c:showLegendKey val="0"/>
          <c:showVal val="0"/>
          <c:showCatName val="0"/>
          <c:showSerName val="0"/>
          <c:showPercent val="0"/>
          <c:showBubbleSize val="0"/>
        </c:dLbls>
        <c:axId val="1204707024"/>
        <c:axId val="1204706544"/>
      </c:scatterChart>
      <c:valAx>
        <c:axId val="12047070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06544"/>
        <c:crosses val="autoZero"/>
        <c:crossBetween val="midCat"/>
      </c:valAx>
      <c:valAx>
        <c:axId val="120470654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0702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Exp</a:t>
            </a:r>
            <a:r>
              <a:rPr lang="es-ES" baseline="0"/>
              <a:t> X</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K!$F$14:$F$20</c:f>
              <c:numCache>
                <c:formatCode>0.00</c:formatCode>
                <c:ptCount val="7"/>
                <c:pt idx="0">
                  <c:v>9.649410371989255</c:v>
                </c:pt>
                <c:pt idx="1">
                  <c:v>9.5119063880162091</c:v>
                </c:pt>
                <c:pt idx="2">
                  <c:v>9.2186859718617686</c:v>
                </c:pt>
                <c:pt idx="3">
                  <c:v>8.3490415699130356</c:v>
                </c:pt>
                <c:pt idx="4">
                  <c:v>7.5235623548695543</c:v>
                </c:pt>
                <c:pt idx="5">
                  <c:v>6.7486226836042436</c:v>
                </c:pt>
                <c:pt idx="6">
                  <c:v>5.0134316805536585</c:v>
                </c:pt>
              </c:numCache>
            </c:numRef>
          </c:yVal>
          <c:smooth val="0"/>
          <c:extLst>
            <c:ext xmlns:c16="http://schemas.microsoft.com/office/drawing/2014/chart" uri="{C3380CC4-5D6E-409C-BE32-E72D297353CC}">
              <c16:uniqueId val="{00000000-C0F4-487E-87D2-E902E8239F37}"/>
            </c:ext>
          </c:extLst>
        </c:ser>
        <c:dLbls>
          <c:showLegendKey val="0"/>
          <c:showVal val="0"/>
          <c:showCatName val="0"/>
          <c:showSerName val="0"/>
          <c:showPercent val="0"/>
          <c:showBubbleSize val="0"/>
        </c:dLbls>
        <c:axId val="1204710864"/>
        <c:axId val="1204688784"/>
      </c:scatterChart>
      <c:valAx>
        <c:axId val="12047108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88784"/>
        <c:crosses val="autoZero"/>
        <c:crossBetween val="midCat"/>
      </c:valAx>
      <c:valAx>
        <c:axId val="1204688784"/>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108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FE6D-4C28-9B5D-D92737B98F34}"/>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FE6D-4C28-9B5D-D92737B98F34}"/>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FE6D-4C28-9B5D-D92737B98F34}"/>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strRef>
              <c:f>L!#REF!</c:f>
              <c:strCache>
                <c:ptCount val="1"/>
                <c:pt idx="0">
                  <c:v>#¡REF!</c:v>
                </c:pt>
              </c:strCache>
            </c:strRef>
          </c:xVal>
          <c:yVal>
            <c:numRef>
              <c:f>L!#REF!</c:f>
              <c:numCache>
                <c:formatCode>General</c:formatCode>
                <c:ptCount val="1"/>
                <c:pt idx="0">
                  <c:v>1</c:v>
                </c:pt>
              </c:numCache>
            </c:numRef>
          </c:yVal>
          <c:smooth val="0"/>
          <c:extLst>
            <c:ext xmlns:c16="http://schemas.microsoft.com/office/drawing/2014/chart" uri="{C3380CC4-5D6E-409C-BE32-E72D297353CC}">
              <c16:uniqueId val="{00000003-FE6D-4C28-9B5D-D92737B98F34}"/>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8627-480C-95F9-94E5A89DBBEA}"/>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8627-480C-95F9-94E5A89DBBEA}"/>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8627-480C-95F9-94E5A89DBBEA}"/>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8627-480C-95F9-94E5A89DBBEA}"/>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49C3-4E51-A924-C9028A4C5D1B}"/>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49C3-4E51-A924-C9028A4C5D1B}"/>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5.6400066542208166E-2"/>
                  <c:y val="-2.896500310964484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L!$B$62:$B$68</c:f>
              <c:numCache>
                <c:formatCode>General</c:formatCode>
                <c:ptCount val="7"/>
                <c:pt idx="0">
                  <c:v>0</c:v>
                </c:pt>
                <c:pt idx="1">
                  <c:v>5</c:v>
                </c:pt>
                <c:pt idx="2">
                  <c:v>15</c:v>
                </c:pt>
                <c:pt idx="3">
                  <c:v>30</c:v>
                </c:pt>
                <c:pt idx="4">
                  <c:v>45</c:v>
                </c:pt>
                <c:pt idx="5">
                  <c:v>60</c:v>
                </c:pt>
                <c:pt idx="6">
                  <c:v>90</c:v>
                </c:pt>
              </c:numCache>
            </c:numRef>
          </c:xVal>
          <c:yVal>
            <c:numRef>
              <c:f>L!$H$62:$H$68</c:f>
              <c:numCache>
                <c:formatCode>General</c:formatCode>
                <c:ptCount val="7"/>
                <c:pt idx="0">
                  <c:v>0</c:v>
                </c:pt>
                <c:pt idx="1">
                  <c:v>0.15411882356272127</c:v>
                </c:pt>
                <c:pt idx="2">
                  <c:v>0.42065612690889531</c:v>
                </c:pt>
                <c:pt idx="3">
                  <c:v>0.84448250291001681</c:v>
                </c:pt>
                <c:pt idx="4">
                  <c:v>1.7155579695353995</c:v>
                </c:pt>
                <c:pt idx="5">
                  <c:v>3.0531127724928018</c:v>
                </c:pt>
                <c:pt idx="6">
                  <c:v>5.1696719771291404</c:v>
                </c:pt>
              </c:numCache>
            </c:numRef>
          </c:yVal>
          <c:smooth val="0"/>
          <c:extLst>
            <c:ext xmlns:c16="http://schemas.microsoft.com/office/drawing/2014/chart" uri="{C3380CC4-5D6E-409C-BE32-E72D297353CC}">
              <c16:uniqueId val="{00000000-622B-44B8-BECA-0AF5C39763F0}"/>
            </c:ext>
          </c:extLst>
        </c:ser>
        <c:dLbls>
          <c:showLegendKey val="0"/>
          <c:showVal val="0"/>
          <c:showCatName val="0"/>
          <c:showSerName val="0"/>
          <c:showPercent val="0"/>
          <c:showBubbleSize val="0"/>
        </c:dLbls>
        <c:axId val="1646508895"/>
        <c:axId val="1646518015"/>
      </c:scatterChart>
      <c:valAx>
        <c:axId val="16465088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18015"/>
        <c:crosses val="autoZero"/>
        <c:crossBetween val="midCat"/>
      </c:valAx>
      <c:valAx>
        <c:axId val="16465180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0889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L!$B$62:$B$68</c:f>
              <c:numCache>
                <c:formatCode>General</c:formatCode>
                <c:ptCount val="7"/>
                <c:pt idx="0">
                  <c:v>0</c:v>
                </c:pt>
                <c:pt idx="1">
                  <c:v>5</c:v>
                </c:pt>
                <c:pt idx="2">
                  <c:v>15</c:v>
                </c:pt>
                <c:pt idx="3">
                  <c:v>30</c:v>
                </c:pt>
                <c:pt idx="4">
                  <c:v>45</c:v>
                </c:pt>
                <c:pt idx="5">
                  <c:v>60</c:v>
                </c:pt>
                <c:pt idx="6">
                  <c:v>90</c:v>
                </c:pt>
              </c:numCache>
            </c:numRef>
          </c:xVal>
          <c:yVal>
            <c:numRef>
              <c:f>L!$I$62:$I$68</c:f>
              <c:numCache>
                <c:formatCode>0.00</c:formatCode>
                <c:ptCount val="7"/>
                <c:pt idx="0">
                  <c:v>0</c:v>
                </c:pt>
                <c:pt idx="1">
                  <c:v>1.3609251923689847</c:v>
                </c:pt>
                <c:pt idx="2">
                  <c:v>3.271866320630151</c:v>
                </c:pt>
                <c:pt idx="3">
                  <c:v>5.4332286117561353</c:v>
                </c:pt>
                <c:pt idx="4">
                  <c:v>7.8145062149979516</c:v>
                </c:pt>
                <c:pt idx="5">
                  <c:v>9.0784501206574699</c:v>
                </c:pt>
                <c:pt idx="6">
                  <c:v>9.4741155579838825</c:v>
                </c:pt>
              </c:numCache>
            </c:numRef>
          </c:yVal>
          <c:smooth val="0"/>
          <c:extLst>
            <c:ext xmlns:c16="http://schemas.microsoft.com/office/drawing/2014/chart" uri="{C3380CC4-5D6E-409C-BE32-E72D297353CC}">
              <c16:uniqueId val="{00000000-ED53-4BDB-A20E-D6A6B661A52C}"/>
            </c:ext>
          </c:extLst>
        </c:ser>
        <c:dLbls>
          <c:showLegendKey val="0"/>
          <c:showVal val="0"/>
          <c:showCatName val="0"/>
          <c:showSerName val="0"/>
          <c:showPercent val="0"/>
          <c:showBubbleSize val="0"/>
        </c:dLbls>
        <c:axId val="1646524255"/>
        <c:axId val="1646525695"/>
      </c:scatterChart>
      <c:valAx>
        <c:axId val="164652425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25695"/>
        <c:crosses val="autoZero"/>
        <c:crossBetween val="midCat"/>
      </c:valAx>
      <c:valAx>
        <c:axId val="16465256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242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L!$J$62:$J$68</c:f>
              <c:numCache>
                <c:formatCode>General</c:formatCode>
                <c:ptCount val="7"/>
                <c:pt idx="0">
                  <c:v>0</c:v>
                </c:pt>
                <c:pt idx="1">
                  <c:v>1.7487856568104074E-2</c:v>
                </c:pt>
                <c:pt idx="2">
                  <c:v>5.4884986348158415E-2</c:v>
                </c:pt>
                <c:pt idx="3">
                  <c:v>0.1392455883922934</c:v>
                </c:pt>
                <c:pt idx="4">
                  <c:v>0.47855105168734174</c:v>
                </c:pt>
                <c:pt idx="5">
                  <c:v>2.1180251661404816</c:v>
                </c:pt>
                <c:pt idx="6">
                  <c:v>18.351351978646861</c:v>
                </c:pt>
              </c:numCache>
            </c:numRef>
          </c:yVal>
          <c:smooth val="0"/>
          <c:extLst>
            <c:ext xmlns:c16="http://schemas.microsoft.com/office/drawing/2014/chart" uri="{C3380CC4-5D6E-409C-BE32-E72D297353CC}">
              <c16:uniqueId val="{00000000-F314-4A81-A879-B721AC176AC5}"/>
            </c:ext>
          </c:extLst>
        </c:ser>
        <c:dLbls>
          <c:showLegendKey val="0"/>
          <c:showVal val="0"/>
          <c:showCatName val="0"/>
          <c:showSerName val="0"/>
          <c:showPercent val="0"/>
          <c:showBubbleSize val="0"/>
        </c:dLbls>
        <c:axId val="1646511295"/>
        <c:axId val="1646511775"/>
      </c:scatterChart>
      <c:valAx>
        <c:axId val="16465112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11775"/>
        <c:crosses val="autoZero"/>
        <c:crossBetween val="midCat"/>
      </c:valAx>
      <c:valAx>
        <c:axId val="164651177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1129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9.5733123355818267E-2"/>
                  <c:y val="-3.14451549759745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L!$B$15:$B$21</c:f>
              <c:numCache>
                <c:formatCode>General</c:formatCode>
                <c:ptCount val="7"/>
                <c:pt idx="0">
                  <c:v>0</c:v>
                </c:pt>
                <c:pt idx="1">
                  <c:v>5</c:v>
                </c:pt>
                <c:pt idx="2">
                  <c:v>15</c:v>
                </c:pt>
                <c:pt idx="3">
                  <c:v>30</c:v>
                </c:pt>
                <c:pt idx="4">
                  <c:v>45</c:v>
                </c:pt>
                <c:pt idx="5">
                  <c:v>60</c:v>
                </c:pt>
                <c:pt idx="6">
                  <c:v>90</c:v>
                </c:pt>
              </c:numCache>
            </c:numRef>
          </c:xVal>
          <c:yVal>
            <c:numRef>
              <c:f>L!$H$15:$H$21</c:f>
              <c:numCache>
                <c:formatCode>General</c:formatCode>
                <c:ptCount val="7"/>
                <c:pt idx="0">
                  <c:v>0</c:v>
                </c:pt>
                <c:pt idx="1">
                  <c:v>0.15704799757623741</c:v>
                </c:pt>
                <c:pt idx="2">
                  <c:v>0.53117785261488915</c:v>
                </c:pt>
                <c:pt idx="3">
                  <c:v>0.95034151988765236</c:v>
                </c:pt>
                <c:pt idx="4">
                  <c:v>1.9283658394044036</c:v>
                </c:pt>
                <c:pt idx="5">
                  <c:v>2.4959564859745851</c:v>
                </c:pt>
                <c:pt idx="6">
                  <c:v>4.227612031132935</c:v>
                </c:pt>
              </c:numCache>
            </c:numRef>
          </c:yVal>
          <c:smooth val="0"/>
          <c:extLst>
            <c:ext xmlns:c16="http://schemas.microsoft.com/office/drawing/2014/chart" uri="{C3380CC4-5D6E-409C-BE32-E72D297353CC}">
              <c16:uniqueId val="{00000002-888C-4E78-9B92-E3CBDF24DCDD}"/>
            </c:ext>
          </c:extLst>
        </c:ser>
        <c:dLbls>
          <c:showLegendKey val="0"/>
          <c:showVal val="0"/>
          <c:showCatName val="0"/>
          <c:showSerName val="0"/>
          <c:showPercent val="0"/>
          <c:showBubbleSize val="0"/>
        </c:dLbls>
        <c:axId val="1646559295"/>
        <c:axId val="1646536735"/>
      </c:scatterChart>
      <c:valAx>
        <c:axId val="164655929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36735"/>
        <c:crosses val="autoZero"/>
        <c:crossBetween val="midCat"/>
      </c:valAx>
      <c:valAx>
        <c:axId val="16465367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59295"/>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0.14559823455276302"/>
          <c:y val="0.26390695029074329"/>
          <c:w val="0.80805195381049755"/>
          <c:h val="0.62198876523205648"/>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L!$B$15:$B$21</c:f>
              <c:numCache>
                <c:formatCode>General</c:formatCode>
                <c:ptCount val="7"/>
                <c:pt idx="0">
                  <c:v>0</c:v>
                </c:pt>
                <c:pt idx="1">
                  <c:v>5</c:v>
                </c:pt>
                <c:pt idx="2">
                  <c:v>15</c:v>
                </c:pt>
                <c:pt idx="3">
                  <c:v>30</c:v>
                </c:pt>
                <c:pt idx="4">
                  <c:v>45</c:v>
                </c:pt>
                <c:pt idx="5">
                  <c:v>60</c:v>
                </c:pt>
                <c:pt idx="6">
                  <c:v>90</c:v>
                </c:pt>
              </c:numCache>
            </c:numRef>
          </c:xVal>
          <c:yVal>
            <c:numRef>
              <c:f>L!$I$15:$I$21</c:f>
              <c:numCache>
                <c:formatCode>0.00</c:formatCode>
                <c:ptCount val="7"/>
                <c:pt idx="0">
                  <c:v>0</c:v>
                </c:pt>
                <c:pt idx="1">
                  <c:v>1.3609251923689829</c:v>
                </c:pt>
                <c:pt idx="2">
                  <c:v>3.8587624641442426</c:v>
                </c:pt>
                <c:pt idx="3">
                  <c:v>5.7437508537085087</c:v>
                </c:pt>
                <c:pt idx="4">
                  <c:v>8.002549742749169</c:v>
                </c:pt>
                <c:pt idx="5">
                  <c:v>8.5921777534945125</c:v>
                </c:pt>
                <c:pt idx="6">
                  <c:v>9.2273368847607333</c:v>
                </c:pt>
              </c:numCache>
            </c:numRef>
          </c:yVal>
          <c:smooth val="0"/>
          <c:extLst>
            <c:ext xmlns:c16="http://schemas.microsoft.com/office/drawing/2014/chart" uri="{C3380CC4-5D6E-409C-BE32-E72D297353CC}">
              <c16:uniqueId val="{00000000-21AD-4238-B09C-CE01C63DBA03}"/>
            </c:ext>
          </c:extLst>
        </c:ser>
        <c:dLbls>
          <c:showLegendKey val="0"/>
          <c:showVal val="0"/>
          <c:showCatName val="0"/>
          <c:showSerName val="0"/>
          <c:showPercent val="0"/>
          <c:showBubbleSize val="0"/>
        </c:dLbls>
        <c:axId val="1646557375"/>
        <c:axId val="1646541535"/>
      </c:scatterChart>
      <c:valAx>
        <c:axId val="164655737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41535"/>
        <c:crosses val="autoZero"/>
        <c:crossBetween val="midCat"/>
      </c:valAx>
      <c:valAx>
        <c:axId val="164654153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5737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Fibra MOF-Fe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D!$B$16:$B$22</c:f>
              <c:numCache>
                <c:formatCode>General</c:formatCode>
                <c:ptCount val="7"/>
                <c:pt idx="0">
                  <c:v>0</c:v>
                </c:pt>
                <c:pt idx="1">
                  <c:v>5</c:v>
                </c:pt>
                <c:pt idx="2">
                  <c:v>15</c:v>
                </c:pt>
                <c:pt idx="3">
                  <c:v>30</c:v>
                </c:pt>
                <c:pt idx="4">
                  <c:v>45</c:v>
                </c:pt>
                <c:pt idx="5">
                  <c:v>60</c:v>
                </c:pt>
                <c:pt idx="6">
                  <c:v>90</c:v>
                </c:pt>
              </c:numCache>
            </c:numRef>
          </c:xVal>
          <c:yVal>
            <c:numRef>
              <c:f>D!$G$16:$G$22</c:f>
              <c:numCache>
                <c:formatCode>0.00</c:formatCode>
                <c:ptCount val="7"/>
                <c:pt idx="0">
                  <c:v>0</c:v>
                </c:pt>
                <c:pt idx="1">
                  <c:v>16.649493730290814</c:v>
                </c:pt>
                <c:pt idx="2">
                  <c:v>63.575942188103397</c:v>
                </c:pt>
                <c:pt idx="3">
                  <c:v>73.742724591702611</c:v>
                </c:pt>
                <c:pt idx="4">
                  <c:v>79.210125740528753</c:v>
                </c:pt>
                <c:pt idx="5">
                  <c:v>80.905137853942875</c:v>
                </c:pt>
                <c:pt idx="6">
                  <c:v>77.454676435902812</c:v>
                </c:pt>
              </c:numCache>
            </c:numRef>
          </c:yVal>
          <c:smooth val="0"/>
          <c:extLst>
            <c:ext xmlns:c16="http://schemas.microsoft.com/office/drawing/2014/chart" uri="{C3380CC4-5D6E-409C-BE32-E72D297353CC}">
              <c16:uniqueId val="{00000000-F747-45C2-90F5-8D3C5739B3A2}"/>
            </c:ext>
          </c:extLst>
        </c:ser>
        <c:ser>
          <c:idx val="3"/>
          <c:order val="3"/>
          <c:tx>
            <c:v>Fibra g-C3N4</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'C'!$B$13:$B$19</c:f>
              <c:numCache>
                <c:formatCode>General</c:formatCode>
                <c:ptCount val="7"/>
                <c:pt idx="0">
                  <c:v>0</c:v>
                </c:pt>
                <c:pt idx="1">
                  <c:v>5</c:v>
                </c:pt>
                <c:pt idx="2">
                  <c:v>15</c:v>
                </c:pt>
                <c:pt idx="3">
                  <c:v>30</c:v>
                </c:pt>
                <c:pt idx="4">
                  <c:v>45</c:v>
                </c:pt>
                <c:pt idx="5">
                  <c:v>60</c:v>
                </c:pt>
                <c:pt idx="6">
                  <c:v>90</c:v>
                </c:pt>
              </c:numCache>
            </c:numRef>
          </c:xVal>
          <c:yVal>
            <c:numRef>
              <c:f>'C'!$G$13:$G$19</c:f>
              <c:numCache>
                <c:formatCode>General</c:formatCode>
                <c:ptCount val="7"/>
                <c:pt idx="0">
                  <c:v>0</c:v>
                </c:pt>
                <c:pt idx="1">
                  <c:v>12.488973884374008</c:v>
                </c:pt>
                <c:pt idx="2">
                  <c:v>26.403570292390892</c:v>
                </c:pt>
                <c:pt idx="3">
                  <c:v>40.967442230384357</c:v>
                </c:pt>
                <c:pt idx="4">
                  <c:v>57.897952396101459</c:v>
                </c:pt>
                <c:pt idx="5">
                  <c:v>68.18694507909882</c:v>
                </c:pt>
                <c:pt idx="6">
                  <c:v>84.556207883853432</c:v>
                </c:pt>
              </c:numCache>
            </c:numRef>
          </c:yVal>
          <c:smooth val="0"/>
          <c:extLst>
            <c:ext xmlns:c16="http://schemas.microsoft.com/office/drawing/2014/chart" uri="{C3380CC4-5D6E-409C-BE32-E72D297353CC}">
              <c16:uniqueId val="{00000001-F747-45C2-90F5-8D3C5739B3A2}"/>
            </c:ext>
          </c:extLst>
        </c:ser>
        <c:ser>
          <c:idx val="4"/>
          <c:order val="4"/>
          <c:tx>
            <c:v>Fibra MOF-Fe y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F!$B$14:$B$20</c:f>
              <c:numCache>
                <c:formatCode>General</c:formatCode>
                <c:ptCount val="7"/>
                <c:pt idx="0">
                  <c:v>0</c:v>
                </c:pt>
                <c:pt idx="1">
                  <c:v>5</c:v>
                </c:pt>
                <c:pt idx="2">
                  <c:v>15</c:v>
                </c:pt>
                <c:pt idx="3">
                  <c:v>30</c:v>
                </c:pt>
                <c:pt idx="4">
                  <c:v>45</c:v>
                </c:pt>
                <c:pt idx="5">
                  <c:v>60</c:v>
                </c:pt>
                <c:pt idx="6">
                  <c:v>90</c:v>
                </c:pt>
              </c:numCache>
            </c:numRef>
          </c:xVal>
          <c:yVal>
            <c:numRef>
              <c:f>F!$G$14:$G$20</c:f>
              <c:numCache>
                <c:formatCode>0.00</c:formatCode>
                <c:ptCount val="7"/>
                <c:pt idx="0">
                  <c:v>0</c:v>
                </c:pt>
                <c:pt idx="1">
                  <c:v>6.137934532878039</c:v>
                </c:pt>
                <c:pt idx="2">
                  <c:v>20.415704616151576</c:v>
                </c:pt>
                <c:pt idx="3">
                  <c:v>32.61519860275402</c:v>
                </c:pt>
                <c:pt idx="4">
                  <c:v>52.059875782203349</c:v>
                </c:pt>
                <c:pt idx="5">
                  <c:v>64.278748520232824</c:v>
                </c:pt>
                <c:pt idx="6">
                  <c:v>76.316182948332639</c:v>
                </c:pt>
              </c:numCache>
            </c:numRef>
          </c:yVal>
          <c:smooth val="0"/>
          <c:extLst>
            <c:ext xmlns:c16="http://schemas.microsoft.com/office/drawing/2014/chart" uri="{C3380CC4-5D6E-409C-BE32-E72D297353CC}">
              <c16:uniqueId val="{00000002-F747-45C2-90F5-8D3C5739B3A2}"/>
            </c:ext>
          </c:extLst>
        </c:ser>
        <c:ser>
          <c:idx val="5"/>
          <c:order val="5"/>
          <c:tx>
            <c:v>FOTO+OA+FIBRA</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E!$B$14:$B$20</c:f>
              <c:numCache>
                <c:formatCode>General</c:formatCode>
                <c:ptCount val="7"/>
                <c:pt idx="0">
                  <c:v>0</c:v>
                </c:pt>
                <c:pt idx="1">
                  <c:v>5</c:v>
                </c:pt>
                <c:pt idx="2">
                  <c:v>15</c:v>
                </c:pt>
                <c:pt idx="3">
                  <c:v>30</c:v>
                </c:pt>
                <c:pt idx="4">
                  <c:v>45</c:v>
                </c:pt>
                <c:pt idx="5">
                  <c:v>60</c:v>
                </c:pt>
                <c:pt idx="6">
                  <c:v>90</c:v>
                </c:pt>
              </c:numCache>
            </c:numRef>
          </c:xVal>
          <c:yVal>
            <c:numRef>
              <c:f>E!$G$14:$G$20</c:f>
              <c:numCache>
                <c:formatCode>0.00</c:formatCode>
                <c:ptCount val="7"/>
                <c:pt idx="0">
                  <c:v>0</c:v>
                </c:pt>
                <c:pt idx="1">
                  <c:v>16.761567354285489</c:v>
                </c:pt>
                <c:pt idx="2">
                  <c:v>43.907258689760873</c:v>
                </c:pt>
                <c:pt idx="3">
                  <c:v>51.438778392630155</c:v>
                </c:pt>
                <c:pt idx="4">
                  <c:v>65.665002616992567</c:v>
                </c:pt>
                <c:pt idx="5">
                  <c:v>72.379478750734336</c:v>
                </c:pt>
                <c:pt idx="6">
                  <c:v>87.904404987059664</c:v>
                </c:pt>
              </c:numCache>
            </c:numRef>
          </c:yVal>
          <c:smooth val="0"/>
          <c:extLst>
            <c:ext xmlns:c16="http://schemas.microsoft.com/office/drawing/2014/chart" uri="{C3380CC4-5D6E-409C-BE32-E72D297353CC}">
              <c16:uniqueId val="{00000003-F747-45C2-90F5-8D3C5739B3A2}"/>
            </c:ext>
          </c:extLst>
        </c:ser>
        <c:dLbls>
          <c:showLegendKey val="0"/>
          <c:showVal val="0"/>
          <c:showCatName val="0"/>
          <c:showSerName val="0"/>
          <c:showPercent val="0"/>
          <c:showBubbleSize val="0"/>
        </c:dLbls>
        <c:axId val="493243215"/>
        <c:axId val="493248495"/>
        <c:extLst>
          <c:ext xmlns:c15="http://schemas.microsoft.com/office/drawing/2012/chart" uri="{02D57815-91ED-43cb-92C2-25804820EDAC}">
            <c15:filteredScatterSeries>
              <c15:ser>
                <c:idx val="1"/>
                <c:order val="1"/>
                <c:tx>
                  <c:v>OA Aire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B!$B$14:$B$20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c:ext uri="{02D57815-91ED-43cb-92C2-25804820EDAC}">
                        <c15:formulaRef>
                          <c15:sqref>B!$G$14:$G$20</c15:sqref>
                        </c15:formulaRef>
                      </c:ext>
                    </c:extLst>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4-F747-45C2-90F5-8D3C5739B3A2}"/>
                  </c:ext>
                </c:extLst>
              </c15:ser>
            </c15:filteredScatterSeries>
            <c15:filteredScatterSeries>
              <c15:ser>
                <c:idx val="2"/>
                <c:order val="2"/>
                <c:tx>
                  <c:v>OA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xmlns:c15="http://schemas.microsoft.com/office/drawing/2012/chart">
                      <c:ext xmlns:c15="http://schemas.microsoft.com/office/drawing/2012/chart" uri="{02D57815-91ED-43cb-92C2-25804820EDAC}">
                        <c15:formulaRef>
                          <c15:sqref>A!$B$13:$B$19</c15:sqref>
                        </c15:formulaRef>
                      </c:ext>
                    </c:extLst>
                    <c:numCache>
                      <c:formatCode>General</c:formatCode>
                      <c:ptCount val="7"/>
                      <c:pt idx="0">
                        <c:v>0</c:v>
                      </c:pt>
                      <c:pt idx="1">
                        <c:v>5</c:v>
                      </c:pt>
                      <c:pt idx="2">
                        <c:v>18</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A!$G$13:$G$19</c15:sqref>
                        </c15:formulaRef>
                      </c:ext>
                    </c:extLst>
                    <c:numCache>
                      <c:formatCode>0.00</c:formatCode>
                      <c:ptCount val="7"/>
                      <c:pt idx="0">
                        <c:v>0</c:v>
                      </c:pt>
                      <c:pt idx="1">
                        <c:v>11.888639322784442</c:v>
                      </c:pt>
                      <c:pt idx="2">
                        <c:v>24.787394460998136</c:v>
                      </c:pt>
                      <c:pt idx="3">
                        <c:v>49.517219384263775</c:v>
                      </c:pt>
                      <c:pt idx="4">
                        <c:v>46.069581086252413</c:v>
                      </c:pt>
                      <c:pt idx="5">
                        <c:v>60.373845276039752</c:v>
                      </c:pt>
                      <c:pt idx="6">
                        <c:v>76.143660366569605</c:v>
                      </c:pt>
                    </c:numCache>
                  </c:numRef>
                </c:yVal>
                <c:smooth val="0"/>
                <c:extLst xmlns:c15="http://schemas.microsoft.com/office/drawing/2012/chart">
                  <c:ext xmlns:c16="http://schemas.microsoft.com/office/drawing/2014/chart" uri="{C3380CC4-5D6E-409C-BE32-E72D297353CC}">
                    <c16:uniqueId val="{00000005-F747-45C2-90F5-8D3C5739B3A2}"/>
                  </c:ext>
                </c:extLst>
              </c15:ser>
            </c15:filteredScatterSeries>
          </c:ext>
        </c:extLst>
      </c:scatterChart>
      <c:valAx>
        <c:axId val="493243215"/>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93248495"/>
        <c:crosses val="autoZero"/>
        <c:crossBetween val="midCat"/>
      </c:valAx>
      <c:valAx>
        <c:axId val="493248495"/>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9324321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L!$B$17:$B$23</c:f>
              <c:numCache>
                <c:formatCode>General</c:formatCode>
                <c:ptCount val="7"/>
                <c:pt idx="0">
                  <c:v>15</c:v>
                </c:pt>
                <c:pt idx="1">
                  <c:v>30</c:v>
                </c:pt>
                <c:pt idx="2">
                  <c:v>45</c:v>
                </c:pt>
                <c:pt idx="3">
                  <c:v>60</c:v>
                </c:pt>
                <c:pt idx="4">
                  <c:v>90</c:v>
                </c:pt>
              </c:numCache>
            </c:numRef>
          </c:xVal>
          <c:yVal>
            <c:numRef>
              <c:f>L!$M$17:$M$23</c:f>
              <c:numCache>
                <c:formatCode>General</c:formatCode>
                <c:ptCount val="7"/>
              </c:numCache>
            </c:numRef>
          </c:yVal>
          <c:smooth val="0"/>
          <c:extLst>
            <c:ext xmlns:c16="http://schemas.microsoft.com/office/drawing/2014/chart" uri="{C3380CC4-5D6E-409C-BE32-E72D297353CC}">
              <c16:uniqueId val="{00000003-9857-4CA7-AF8D-A9199E8DB5E3}"/>
            </c:ext>
          </c:extLst>
        </c:ser>
        <c:dLbls>
          <c:showLegendKey val="0"/>
          <c:showVal val="0"/>
          <c:showCatName val="0"/>
          <c:showSerName val="0"/>
          <c:showPercent val="0"/>
          <c:showBubbleSize val="0"/>
        </c:dLbls>
        <c:axId val="1646539135"/>
        <c:axId val="1646546815"/>
      </c:scatterChart>
      <c:valAx>
        <c:axId val="164653913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46815"/>
        <c:crosses val="autoZero"/>
        <c:crossBetween val="midCat"/>
      </c:valAx>
      <c:valAx>
        <c:axId val="16465468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39135"/>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L!$B$39:$B$45</c:f>
              <c:numCache>
                <c:formatCode>General</c:formatCode>
                <c:ptCount val="7"/>
                <c:pt idx="0">
                  <c:v>0</c:v>
                </c:pt>
                <c:pt idx="1">
                  <c:v>5</c:v>
                </c:pt>
                <c:pt idx="2">
                  <c:v>15</c:v>
                </c:pt>
                <c:pt idx="3">
                  <c:v>30</c:v>
                </c:pt>
                <c:pt idx="4">
                  <c:v>45</c:v>
                </c:pt>
                <c:pt idx="5">
                  <c:v>60</c:v>
                </c:pt>
                <c:pt idx="6">
                  <c:v>90</c:v>
                </c:pt>
              </c:numCache>
            </c:numRef>
          </c:xVal>
          <c:yVal>
            <c:numRef>
              <c:f>L!$H$39:$H$45</c:f>
              <c:numCache>
                <c:formatCode>General</c:formatCode>
                <c:ptCount val="7"/>
                <c:pt idx="0">
                  <c:v>0</c:v>
                </c:pt>
                <c:pt idx="1">
                  <c:v>0.2067848270402223</c:v>
                </c:pt>
                <c:pt idx="2">
                  <c:v>0.5079920917638886</c:v>
                </c:pt>
                <c:pt idx="3">
                  <c:v>1.0869519938782852</c:v>
                </c:pt>
                <c:pt idx="4">
                  <c:v>2.5119903903065484</c:v>
                </c:pt>
                <c:pt idx="5">
                  <c:v>3.7405586302148599</c:v>
                </c:pt>
                <c:pt idx="6">
                  <c:v>5.0688096216848351</c:v>
                </c:pt>
              </c:numCache>
            </c:numRef>
          </c:yVal>
          <c:smooth val="0"/>
          <c:extLst>
            <c:ext xmlns:c16="http://schemas.microsoft.com/office/drawing/2014/chart" uri="{C3380CC4-5D6E-409C-BE32-E72D297353CC}">
              <c16:uniqueId val="{00000000-5E68-4ADD-9B37-4114829F93A8}"/>
            </c:ext>
          </c:extLst>
        </c:ser>
        <c:dLbls>
          <c:showLegendKey val="0"/>
          <c:showVal val="0"/>
          <c:showCatName val="0"/>
          <c:showSerName val="0"/>
          <c:showPercent val="0"/>
          <c:showBubbleSize val="0"/>
        </c:dLbls>
        <c:axId val="1636955471"/>
        <c:axId val="1636955951"/>
      </c:scatterChart>
      <c:valAx>
        <c:axId val="163695547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36955951"/>
        <c:crosses val="autoZero"/>
        <c:crossBetween val="midCat"/>
      </c:valAx>
      <c:valAx>
        <c:axId val="16369559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3695547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L!$B$39:$B$45</c:f>
              <c:numCache>
                <c:formatCode>General</c:formatCode>
                <c:ptCount val="7"/>
                <c:pt idx="0">
                  <c:v>0</c:v>
                </c:pt>
                <c:pt idx="1">
                  <c:v>5</c:v>
                </c:pt>
                <c:pt idx="2">
                  <c:v>15</c:v>
                </c:pt>
                <c:pt idx="3">
                  <c:v>30</c:v>
                </c:pt>
                <c:pt idx="4">
                  <c:v>45</c:v>
                </c:pt>
                <c:pt idx="5">
                  <c:v>60</c:v>
                </c:pt>
                <c:pt idx="6">
                  <c:v>90</c:v>
                </c:pt>
              </c:numCache>
            </c:numRef>
          </c:xVal>
          <c:yVal>
            <c:numRef>
              <c:f>L!$I$39:$I$45</c:f>
              <c:numCache>
                <c:formatCode>0.00</c:formatCode>
                <c:ptCount val="7"/>
                <c:pt idx="0">
                  <c:v>0</c:v>
                </c:pt>
                <c:pt idx="1">
                  <c:v>1.7984792605746023</c:v>
                </c:pt>
                <c:pt idx="2">
                  <c:v>3.8346309702681785</c:v>
                </c:pt>
                <c:pt idx="3">
                  <c:v>6.3807312297955647</c:v>
                </c:pt>
                <c:pt idx="4">
                  <c:v>8.8466967172062105</c:v>
                </c:pt>
                <c:pt idx="5">
                  <c:v>9.3989892091244371</c:v>
                </c:pt>
                <c:pt idx="6">
                  <c:v>9.5669990438464687</c:v>
                </c:pt>
              </c:numCache>
            </c:numRef>
          </c:yVal>
          <c:smooth val="0"/>
          <c:extLst>
            <c:ext xmlns:c16="http://schemas.microsoft.com/office/drawing/2014/chart" uri="{C3380CC4-5D6E-409C-BE32-E72D297353CC}">
              <c16:uniqueId val="{00000001-A93E-4D09-BE8B-D32E314FEEAF}"/>
            </c:ext>
          </c:extLst>
        </c:ser>
        <c:dLbls>
          <c:showLegendKey val="0"/>
          <c:showVal val="0"/>
          <c:showCatName val="0"/>
          <c:showSerName val="0"/>
          <c:showPercent val="0"/>
          <c:showBubbleSize val="0"/>
        </c:dLbls>
        <c:axId val="1646490175"/>
        <c:axId val="1646500735"/>
      </c:scatterChart>
      <c:valAx>
        <c:axId val="164649017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500735"/>
        <c:crosses val="autoZero"/>
        <c:crossBetween val="midCat"/>
      </c:valAx>
      <c:valAx>
        <c:axId val="164650073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4649017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L!$J$39:$J$45</c:f>
              <c:numCache>
                <c:formatCode>General</c:formatCode>
                <c:ptCount val="7"/>
                <c:pt idx="0">
                  <c:v>0</c:v>
                </c:pt>
                <c:pt idx="1">
                  <c:v>2.3860464147255567E-2</c:v>
                </c:pt>
                <c:pt idx="2">
                  <c:v>6.8755854203710942E-2</c:v>
                </c:pt>
                <c:pt idx="3">
                  <c:v>0.20412474198775546</c:v>
                </c:pt>
                <c:pt idx="4">
                  <c:v>1.1767728725784135</c:v>
                </c:pt>
                <c:pt idx="5">
                  <c:v>4.2712310747551294</c:v>
                </c:pt>
                <c:pt idx="6">
                  <c:v>16.409665307747968</c:v>
                </c:pt>
              </c:numCache>
            </c:numRef>
          </c:yVal>
          <c:smooth val="0"/>
          <c:extLst>
            <c:ext xmlns:c16="http://schemas.microsoft.com/office/drawing/2014/chart" uri="{C3380CC4-5D6E-409C-BE32-E72D297353CC}">
              <c16:uniqueId val="{00000000-43D3-4870-889A-0720CE1F0887}"/>
            </c:ext>
          </c:extLst>
        </c:ser>
        <c:dLbls>
          <c:showLegendKey val="0"/>
          <c:showVal val="0"/>
          <c:showCatName val="0"/>
          <c:showSerName val="0"/>
          <c:showPercent val="0"/>
          <c:showBubbleSize val="0"/>
        </c:dLbls>
        <c:axId val="2006658031"/>
        <c:axId val="2006656591"/>
      </c:scatterChart>
      <c:valAx>
        <c:axId val="200665803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06656591"/>
        <c:crosses val="autoZero"/>
        <c:crossBetween val="midCat"/>
      </c:valAx>
      <c:valAx>
        <c:axId val="200665659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0665803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Y</c:v>
          </c:tx>
          <c:spPr>
            <a:ln w="25400" cap="rnd">
              <a:noFill/>
              <a:round/>
            </a:ln>
            <a:effectLst/>
          </c:spPr>
          <c:marker>
            <c:symbol val="circle"/>
            <c:size val="5"/>
            <c:spPr>
              <a:solidFill>
                <a:schemeClr val="accent1"/>
              </a:solidFill>
              <a:ln w="9525">
                <a:solidFill>
                  <a:schemeClr val="accent1"/>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M!$F$14:$F$20</c:f>
              <c:numCache>
                <c:formatCode>0.00</c:formatCode>
                <c:ptCount val="7"/>
                <c:pt idx="0">
                  <c:v>9.5519737740745807</c:v>
                </c:pt>
                <c:pt idx="1">
                  <c:v>8.0444383736283758</c:v>
                </c:pt>
                <c:pt idx="2">
                  <c:v>6.250056913900651</c:v>
                </c:pt>
                <c:pt idx="3">
                  <c:v>3.7003141647315942</c:v>
                </c:pt>
                <c:pt idx="4">
                  <c:v>2.5793379775076266</c:v>
                </c:pt>
                <c:pt idx="5">
                  <c:v>1.6427628283932068</c:v>
                </c:pt>
                <c:pt idx="6">
                  <c:v>0.691162409506898</c:v>
                </c:pt>
              </c:numCache>
            </c:numRef>
          </c:yVal>
          <c:smooth val="0"/>
          <c:extLst>
            <c:ext xmlns:c16="http://schemas.microsoft.com/office/drawing/2014/chart" uri="{C3380CC4-5D6E-409C-BE32-E72D297353CC}">
              <c16:uniqueId val="{00000000-E535-4586-B4B3-5410BE7D9F32}"/>
            </c:ext>
          </c:extLst>
        </c:ser>
        <c:dLbls>
          <c:showLegendKey val="0"/>
          <c:showVal val="0"/>
          <c:showCatName val="0"/>
          <c:showSerName val="0"/>
          <c:showPercent val="0"/>
          <c:showBubbleSize val="0"/>
        </c:dLbls>
        <c:axId val="1036790976"/>
        <c:axId val="1036804416"/>
      </c:scatterChart>
      <c:valAx>
        <c:axId val="1036790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804416"/>
        <c:crosses val="autoZero"/>
        <c:crossBetween val="midCat"/>
      </c:valAx>
      <c:valAx>
        <c:axId val="1036804416"/>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layout>
            <c:manualLayout>
              <c:xMode val="edge"/>
              <c:yMode val="edge"/>
              <c:x val="1.9985724482512492E-2"/>
              <c:y val="0.229617637795275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097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Y</c:v>
          </c:tx>
          <c:spPr>
            <a:ln w="25400" cap="rnd">
              <a:noFill/>
              <a:round/>
            </a:ln>
            <a:effectLst/>
          </c:spPr>
          <c:marker>
            <c:symbol val="circle"/>
            <c:size val="5"/>
            <c:spPr>
              <a:solidFill>
                <a:schemeClr val="accent1"/>
              </a:solidFill>
              <a:ln w="9525">
                <a:solidFill>
                  <a:schemeClr val="accent1"/>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0-C5AB-4A61-BAF1-619A45D99692}"/>
            </c:ext>
          </c:extLst>
        </c:ser>
        <c:dLbls>
          <c:showLegendKey val="0"/>
          <c:showVal val="0"/>
          <c:showCatName val="0"/>
          <c:showSerName val="0"/>
          <c:showPercent val="0"/>
          <c:showBubbleSize val="0"/>
        </c:dLbls>
        <c:axId val="1036806336"/>
        <c:axId val="1036805856"/>
      </c:scatterChart>
      <c:valAx>
        <c:axId val="10368063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805856"/>
        <c:crosses val="autoZero"/>
        <c:crossBetween val="midCat"/>
      </c:valAx>
      <c:valAx>
        <c:axId val="10368058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2.4242418458024707E-2"/>
              <c:y val="0.2872650360194338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8063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2DC7-4364-8DAB-E4085640A6FC}"/>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2DC7-4364-8DAB-E4085640A6FC}"/>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OA 50 mA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Electro 50 mA</c:v>
          </c:tx>
          <c:spPr>
            <a:ln w="25400" cap="rnd">
              <a:noFill/>
              <a:round/>
            </a:ln>
            <a:effectLst/>
          </c:spPr>
          <c:marker>
            <c:symbol val="circle"/>
            <c:size val="5"/>
            <c:spPr>
              <a:solidFill>
                <a:schemeClr val="accent1"/>
              </a:solidFill>
              <a:ln w="9525">
                <a:solidFill>
                  <a:schemeClr val="accent1"/>
                </a:solidFill>
              </a:ln>
              <a:effectLst/>
            </c:spPr>
          </c:marker>
          <c:xVal>
            <c:numRef>
              <c:f>N!$B$15:$B$21</c:f>
              <c:numCache>
                <c:formatCode>General</c:formatCode>
                <c:ptCount val="7"/>
                <c:pt idx="0">
                  <c:v>0</c:v>
                </c:pt>
                <c:pt idx="1">
                  <c:v>5</c:v>
                </c:pt>
                <c:pt idx="2">
                  <c:v>15</c:v>
                </c:pt>
                <c:pt idx="3">
                  <c:v>30</c:v>
                </c:pt>
                <c:pt idx="4">
                  <c:v>45</c:v>
                </c:pt>
                <c:pt idx="5">
                  <c:v>60</c:v>
                </c:pt>
                <c:pt idx="6">
                  <c:v>90</c:v>
                </c:pt>
              </c:numCache>
            </c:numRef>
          </c:xVal>
          <c:yVal>
            <c:numRef>
              <c:f>N!$F$15:$F$21</c:f>
              <c:numCache>
                <c:formatCode>0.00</c:formatCode>
                <c:ptCount val="7"/>
                <c:pt idx="0">
                  <c:v>9.6038792514683795</c:v>
                </c:pt>
                <c:pt idx="1">
                  <c:v>8.9022446842416798</c:v>
                </c:pt>
                <c:pt idx="2">
                  <c:v>7.8436461321313118</c:v>
                </c:pt>
                <c:pt idx="3">
                  <c:v>6.3147111050402955</c:v>
                </c:pt>
                <c:pt idx="4">
                  <c:v>5.103127987979784</c:v>
                </c:pt>
                <c:pt idx="5">
                  <c:v>3.9297910121568091</c:v>
                </c:pt>
                <c:pt idx="6">
                  <c:v>2.4067750307335065</c:v>
                </c:pt>
              </c:numCache>
            </c:numRef>
          </c:yVal>
          <c:smooth val="0"/>
          <c:extLst>
            <c:ext xmlns:c16="http://schemas.microsoft.com/office/drawing/2014/chart" uri="{C3380CC4-5D6E-409C-BE32-E72D297353CC}">
              <c16:uniqueId val="{00000000-680A-4101-8805-E785F71DA82E}"/>
            </c:ext>
          </c:extLst>
        </c:ser>
        <c:dLbls>
          <c:showLegendKey val="0"/>
          <c:showVal val="0"/>
          <c:showCatName val="0"/>
          <c:showSerName val="0"/>
          <c:showPercent val="0"/>
          <c:showBubbleSize val="0"/>
        </c:dLbls>
        <c:axId val="239713648"/>
        <c:axId val="239711728"/>
      </c:scatterChart>
      <c:valAx>
        <c:axId val="2397136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711728"/>
        <c:crosses val="autoZero"/>
        <c:crossBetween val="midCat"/>
      </c:valAx>
      <c:valAx>
        <c:axId val="239711728"/>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7136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OA</a:t>
            </a:r>
            <a:r>
              <a:rPr lang="es-ES" baseline="0"/>
              <a:t> 50 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N!$B$15:$B$21</c:f>
              <c:numCache>
                <c:formatCode>General</c:formatCode>
                <c:ptCount val="7"/>
                <c:pt idx="0">
                  <c:v>0</c:v>
                </c:pt>
                <c:pt idx="1">
                  <c:v>5</c:v>
                </c:pt>
                <c:pt idx="2">
                  <c:v>15</c:v>
                </c:pt>
                <c:pt idx="3">
                  <c:v>30</c:v>
                </c:pt>
                <c:pt idx="4">
                  <c:v>45</c:v>
                </c:pt>
                <c:pt idx="5">
                  <c:v>60</c:v>
                </c:pt>
                <c:pt idx="6">
                  <c:v>90</c:v>
                </c:pt>
              </c:numCache>
            </c:numRef>
          </c:xVal>
          <c:yVal>
            <c:numRef>
              <c:f>N!$G$15:$G$21</c:f>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c:ext xmlns:c16="http://schemas.microsoft.com/office/drawing/2014/chart" uri="{C3380CC4-5D6E-409C-BE32-E72D297353CC}">
              <c16:uniqueId val="{00000000-8860-4900-B4D1-5264FF817006}"/>
            </c:ext>
          </c:extLst>
        </c:ser>
        <c:dLbls>
          <c:showLegendKey val="0"/>
          <c:showVal val="0"/>
          <c:showCatName val="0"/>
          <c:showSerName val="0"/>
          <c:showPercent val="0"/>
          <c:showBubbleSize val="0"/>
        </c:dLbls>
        <c:axId val="239685328"/>
        <c:axId val="239699728"/>
      </c:scatterChart>
      <c:valAx>
        <c:axId val="2396853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99728"/>
        <c:crosses val="autoZero"/>
        <c:crossBetween val="midCat"/>
      </c:valAx>
      <c:valAx>
        <c:axId val="239699728"/>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853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78DA-46C1-B671-044CAA38E441}"/>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78DA-46C1-B671-044CAA38E441}"/>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15 min</c:v>
          </c:tx>
          <c:spPr>
            <a:solidFill>
              <a:schemeClr val="accent5">
                <a:lumMod val="40000"/>
                <a:lumOff val="60000"/>
              </a:schemeClr>
            </a:solidFill>
            <a:ln>
              <a:solidFill>
                <a:schemeClr val="accent5">
                  <a:lumMod val="40000"/>
                  <a:lumOff val="60000"/>
                </a:schemeClr>
              </a:solidFill>
            </a:ln>
            <a:effectLst/>
          </c:spPr>
          <c:invertIfNegative val="0"/>
          <c:cat>
            <c:strRef>
              <c:f>D!$E$29:$E$32</c:f>
              <c:strCache>
                <c:ptCount val="4"/>
                <c:pt idx="0">
                  <c:v>Electro-Fenton MOF-Fe</c:v>
                </c:pt>
                <c:pt idx="1">
                  <c:v>Electro-Fenton        g-C3N4</c:v>
                </c:pt>
                <c:pt idx="2">
                  <c:v>Electro-Fenton MOF-Fe + g-C3N4</c:v>
                </c:pt>
                <c:pt idx="3">
                  <c:v>Foto-Electro-Fenton MOF-Fe + g-C3N4</c:v>
                </c:pt>
              </c:strCache>
            </c:strRef>
          </c:cat>
          <c:val>
            <c:numRef>
              <c:f>D!$F$29:$F$32</c:f>
              <c:numCache>
                <c:formatCode>General</c:formatCode>
                <c:ptCount val="4"/>
                <c:pt idx="0">
                  <c:v>63.575942188103397</c:v>
                </c:pt>
                <c:pt idx="1">
                  <c:v>26.403570292390892</c:v>
                </c:pt>
                <c:pt idx="2">
                  <c:v>20.415704616151576</c:v>
                </c:pt>
                <c:pt idx="3">
                  <c:v>43.907258689760873</c:v>
                </c:pt>
              </c:numCache>
            </c:numRef>
          </c:val>
          <c:extLst>
            <c:ext xmlns:c16="http://schemas.microsoft.com/office/drawing/2014/chart" uri="{C3380CC4-5D6E-409C-BE32-E72D297353CC}">
              <c16:uniqueId val="{00000000-DDB3-470E-9EB9-8C531CE762A6}"/>
            </c:ext>
          </c:extLst>
        </c:ser>
        <c:ser>
          <c:idx val="1"/>
          <c:order val="1"/>
          <c:tx>
            <c:v>45 min</c:v>
          </c:tx>
          <c:spPr>
            <a:solidFill>
              <a:srgbClr val="002060"/>
            </a:solidFill>
            <a:ln>
              <a:solidFill>
                <a:srgbClr val="002060"/>
              </a:solidFill>
            </a:ln>
            <a:effectLst/>
          </c:spPr>
          <c:invertIfNegative val="0"/>
          <c:cat>
            <c:strRef>
              <c:f>D!$E$29:$E$32</c:f>
              <c:strCache>
                <c:ptCount val="4"/>
                <c:pt idx="0">
                  <c:v>Electro-Fenton MOF-Fe</c:v>
                </c:pt>
                <c:pt idx="1">
                  <c:v>Electro-Fenton        g-C3N4</c:v>
                </c:pt>
                <c:pt idx="2">
                  <c:v>Electro-Fenton MOF-Fe + g-C3N4</c:v>
                </c:pt>
                <c:pt idx="3">
                  <c:v>Foto-Electro-Fenton MOF-Fe + g-C3N4</c:v>
                </c:pt>
              </c:strCache>
            </c:strRef>
          </c:cat>
          <c:val>
            <c:numRef>
              <c:f>D!$G$29:$G$32</c:f>
              <c:numCache>
                <c:formatCode>General</c:formatCode>
                <c:ptCount val="4"/>
                <c:pt idx="0">
                  <c:v>79.210125740528753</c:v>
                </c:pt>
                <c:pt idx="1">
                  <c:v>57.897952396101459</c:v>
                </c:pt>
                <c:pt idx="2">
                  <c:v>52.059875782203349</c:v>
                </c:pt>
                <c:pt idx="3">
                  <c:v>65.665002616992567</c:v>
                </c:pt>
              </c:numCache>
            </c:numRef>
          </c:val>
          <c:extLst>
            <c:ext xmlns:c16="http://schemas.microsoft.com/office/drawing/2014/chart" uri="{C3380CC4-5D6E-409C-BE32-E72D297353CC}">
              <c16:uniqueId val="{00000001-DDB3-470E-9EB9-8C531CE762A6}"/>
            </c:ext>
          </c:extLst>
        </c:ser>
        <c:dLbls>
          <c:showLegendKey val="0"/>
          <c:showVal val="0"/>
          <c:showCatName val="0"/>
          <c:showSerName val="0"/>
          <c:showPercent val="0"/>
          <c:showBubbleSize val="0"/>
        </c:dLbls>
        <c:gapWidth val="219"/>
        <c:overlap val="-27"/>
        <c:axId val="1276283471"/>
        <c:axId val="1251409999"/>
      </c:barChart>
      <c:catAx>
        <c:axId val="12762834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ES"/>
          </a:p>
        </c:txPr>
        <c:crossAx val="1251409999"/>
        <c:crosses val="autoZero"/>
        <c:auto val="1"/>
        <c:lblAlgn val="ctr"/>
        <c:lblOffset val="100"/>
        <c:noMultiLvlLbl val="0"/>
      </c:catAx>
      <c:valAx>
        <c:axId val="1251409999"/>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s-ES" sz="1200"/>
                  <a:t>Degradación</a:t>
                </a:r>
                <a:r>
                  <a:rPr lang="es-ES" sz="1200" baseline="0"/>
                  <a:t> SMX (%)</a:t>
                </a:r>
                <a:endParaRPr lang="es-ES" sz="120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283471"/>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OA 25 mA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Ñ!$F$15:$F$21</c:f>
              <c:numCache>
                <c:formatCode>0.00</c:formatCode>
                <c:ptCount val="7"/>
                <c:pt idx="0">
                  <c:v>9.5392250603287341</c:v>
                </c:pt>
                <c:pt idx="1">
                  <c:v>8.8858534808541627</c:v>
                </c:pt>
                <c:pt idx="2">
                  <c:v>7.8281655511542141</c:v>
                </c:pt>
                <c:pt idx="3">
                  <c:v>6.6070208987843184</c:v>
                </c:pt>
                <c:pt idx="4">
                  <c:v>5.5356736329281064</c:v>
                </c:pt>
                <c:pt idx="5">
                  <c:v>4.7188453307835907</c:v>
                </c:pt>
                <c:pt idx="6">
                  <c:v>3.3214952419979058</c:v>
                </c:pt>
              </c:numCache>
            </c:numRef>
          </c:yVal>
          <c:smooth val="0"/>
          <c:extLst>
            <c:ext xmlns:c16="http://schemas.microsoft.com/office/drawing/2014/chart" uri="{C3380CC4-5D6E-409C-BE32-E72D297353CC}">
              <c16:uniqueId val="{00000000-CDB5-45E1-BFC3-A3EE14C4A3C6}"/>
            </c:ext>
          </c:extLst>
        </c:ser>
        <c:dLbls>
          <c:showLegendKey val="0"/>
          <c:showVal val="0"/>
          <c:showCatName val="0"/>
          <c:showSerName val="0"/>
          <c:showPercent val="0"/>
          <c:showBubbleSize val="0"/>
        </c:dLbls>
        <c:axId val="239713648"/>
        <c:axId val="239711728"/>
      </c:scatterChart>
      <c:valAx>
        <c:axId val="2397136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711728"/>
        <c:crosses val="autoZero"/>
        <c:crossBetween val="midCat"/>
      </c:valAx>
      <c:valAx>
        <c:axId val="239711728"/>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7136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OA</a:t>
            </a:r>
            <a:r>
              <a:rPr lang="es-ES" baseline="0"/>
              <a:t> 25 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0-3C21-4DAC-AC04-6B3820912405}"/>
            </c:ext>
          </c:extLst>
        </c:ser>
        <c:dLbls>
          <c:showLegendKey val="0"/>
          <c:showVal val="0"/>
          <c:showCatName val="0"/>
          <c:showSerName val="0"/>
          <c:showPercent val="0"/>
          <c:showBubbleSize val="0"/>
        </c:dLbls>
        <c:axId val="239685328"/>
        <c:axId val="239699728"/>
      </c:scatterChart>
      <c:valAx>
        <c:axId val="239685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99728"/>
        <c:crosses val="autoZero"/>
        <c:crossBetween val="midCat"/>
      </c:valAx>
      <c:valAx>
        <c:axId val="23969972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853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9.1475568427065376E-2"/>
                  <c:y val="-9.760196211456823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Ñ!$B$15:$B$21</c:f>
              <c:numCache>
                <c:formatCode>General</c:formatCode>
                <c:ptCount val="7"/>
                <c:pt idx="0">
                  <c:v>0</c:v>
                </c:pt>
                <c:pt idx="1">
                  <c:v>5</c:v>
                </c:pt>
                <c:pt idx="2">
                  <c:v>15</c:v>
                </c:pt>
                <c:pt idx="3">
                  <c:v>30</c:v>
                </c:pt>
                <c:pt idx="4">
                  <c:v>45</c:v>
                </c:pt>
                <c:pt idx="5">
                  <c:v>60</c:v>
                </c:pt>
                <c:pt idx="6">
                  <c:v>90</c:v>
                </c:pt>
              </c:numCache>
            </c:numRef>
          </c:xVal>
          <c:yVal>
            <c:numRef>
              <c:f>Ñ!$L$15:$L$21</c:f>
              <c:numCache>
                <c:formatCode>General</c:formatCode>
                <c:ptCount val="7"/>
                <c:pt idx="0">
                  <c:v>0</c:v>
                </c:pt>
                <c:pt idx="1">
                  <c:v>7.0951735972284491E-2</c:v>
                </c:pt>
                <c:pt idx="2">
                  <c:v>0.19768405368816497</c:v>
                </c:pt>
                <c:pt idx="3">
                  <c:v>0.3672793954169194</c:v>
                </c:pt>
                <c:pt idx="4">
                  <c:v>0.54419898859934446</c:v>
                </c:pt>
                <c:pt idx="5">
                  <c:v>0.70384811522601154</c:v>
                </c:pt>
                <c:pt idx="6">
                  <c:v>1.0549971959511262</c:v>
                </c:pt>
              </c:numCache>
            </c:numRef>
          </c:yVal>
          <c:smooth val="0"/>
          <c:extLst>
            <c:ext xmlns:c16="http://schemas.microsoft.com/office/drawing/2014/chart" uri="{C3380CC4-5D6E-409C-BE32-E72D297353CC}">
              <c16:uniqueId val="{00000000-9D05-4B74-894F-C9FC6C1FFE37}"/>
            </c:ext>
          </c:extLst>
        </c:ser>
        <c:dLbls>
          <c:showLegendKey val="0"/>
          <c:showVal val="0"/>
          <c:showCatName val="0"/>
          <c:showSerName val="0"/>
          <c:showPercent val="0"/>
          <c:showBubbleSize val="0"/>
        </c:dLbls>
        <c:axId val="1616875103"/>
        <c:axId val="1616873663"/>
      </c:scatterChart>
      <c:valAx>
        <c:axId val="161687510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16873663"/>
        <c:crosses val="autoZero"/>
        <c:crossBetween val="midCat"/>
      </c:valAx>
      <c:valAx>
        <c:axId val="1616873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1687510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Ñ!$B$15:$B$21</c:f>
              <c:numCache>
                <c:formatCode>General</c:formatCode>
                <c:ptCount val="7"/>
                <c:pt idx="0">
                  <c:v>0</c:v>
                </c:pt>
                <c:pt idx="1">
                  <c:v>5</c:v>
                </c:pt>
                <c:pt idx="2">
                  <c:v>15</c:v>
                </c:pt>
                <c:pt idx="3">
                  <c:v>30</c:v>
                </c:pt>
                <c:pt idx="4">
                  <c:v>45</c:v>
                </c:pt>
                <c:pt idx="5">
                  <c:v>60</c:v>
                </c:pt>
                <c:pt idx="6">
                  <c:v>90</c:v>
                </c:pt>
              </c:numCache>
            </c:numRef>
          </c:xVal>
          <c:yVal>
            <c:numRef>
              <c:f>Ñ!$M$15:$M$21</c:f>
              <c:numCache>
                <c:formatCode>0.00</c:formatCode>
                <c:ptCount val="7"/>
                <c:pt idx="0">
                  <c:v>0</c:v>
                </c:pt>
                <c:pt idx="1">
                  <c:v>0.65337157947457136</c:v>
                </c:pt>
                <c:pt idx="2">
                  <c:v>1.71105950917452</c:v>
                </c:pt>
                <c:pt idx="3">
                  <c:v>2.9322041615444157</c:v>
                </c:pt>
                <c:pt idx="4">
                  <c:v>4.0035514274006276</c:v>
                </c:pt>
                <c:pt idx="5">
                  <c:v>4.8203797295451434</c:v>
                </c:pt>
                <c:pt idx="6">
                  <c:v>6.2177298183308283</c:v>
                </c:pt>
              </c:numCache>
            </c:numRef>
          </c:yVal>
          <c:smooth val="0"/>
          <c:extLst>
            <c:ext xmlns:c16="http://schemas.microsoft.com/office/drawing/2014/chart" uri="{C3380CC4-5D6E-409C-BE32-E72D297353CC}">
              <c16:uniqueId val="{00000000-A299-4434-B5FB-3A14FD020258}"/>
            </c:ext>
          </c:extLst>
        </c:ser>
        <c:dLbls>
          <c:showLegendKey val="0"/>
          <c:showVal val="0"/>
          <c:showCatName val="0"/>
          <c:showSerName val="0"/>
          <c:showPercent val="0"/>
          <c:showBubbleSize val="0"/>
        </c:dLbls>
        <c:axId val="1321449743"/>
        <c:axId val="1321450223"/>
      </c:scatterChart>
      <c:valAx>
        <c:axId val="132144974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21450223"/>
        <c:crosses val="autoZero"/>
        <c:crossBetween val="midCat"/>
      </c:valAx>
      <c:valAx>
        <c:axId val="1321450223"/>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2144974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Ñ!$B$15:$B$21</c:f>
              <c:numCache>
                <c:formatCode>General</c:formatCode>
                <c:ptCount val="7"/>
                <c:pt idx="0">
                  <c:v>0</c:v>
                </c:pt>
                <c:pt idx="1">
                  <c:v>5</c:v>
                </c:pt>
                <c:pt idx="2">
                  <c:v>15</c:v>
                </c:pt>
                <c:pt idx="3">
                  <c:v>30</c:v>
                </c:pt>
                <c:pt idx="4">
                  <c:v>45</c:v>
                </c:pt>
                <c:pt idx="5">
                  <c:v>60</c:v>
                </c:pt>
                <c:pt idx="6">
                  <c:v>90</c:v>
                </c:pt>
              </c:numCache>
            </c:numRef>
          </c:xVal>
          <c:yVal>
            <c:numRef>
              <c:f>Ñ!$N$15:$N$21</c:f>
              <c:numCache>
                <c:formatCode>General</c:formatCode>
                <c:ptCount val="7"/>
                <c:pt idx="0">
                  <c:v>0</c:v>
                </c:pt>
                <c:pt idx="1">
                  <c:v>7.7081116442567765E-3</c:v>
                </c:pt>
                <c:pt idx="2">
                  <c:v>2.2913530879078117E-2</c:v>
                </c:pt>
                <c:pt idx="3">
                  <c:v>4.6523826769387697E-2</c:v>
                </c:pt>
                <c:pt idx="4">
                  <c:v>7.5816169547303566E-2</c:v>
                </c:pt>
                <c:pt idx="5">
                  <c:v>0.10708593019079031</c:v>
                </c:pt>
                <c:pt idx="6">
                  <c:v>0.19623890713502362</c:v>
                </c:pt>
              </c:numCache>
            </c:numRef>
          </c:yVal>
          <c:smooth val="0"/>
          <c:extLst>
            <c:ext xmlns:c16="http://schemas.microsoft.com/office/drawing/2014/chart" uri="{C3380CC4-5D6E-409C-BE32-E72D297353CC}">
              <c16:uniqueId val="{00000000-BE8E-4FA5-8D34-879BCC092A9E}"/>
            </c:ext>
          </c:extLst>
        </c:ser>
        <c:dLbls>
          <c:showLegendKey val="0"/>
          <c:showVal val="0"/>
          <c:showCatName val="0"/>
          <c:showSerName val="0"/>
          <c:showPercent val="0"/>
          <c:showBubbleSize val="0"/>
        </c:dLbls>
        <c:axId val="1751211423"/>
        <c:axId val="1751208063"/>
      </c:scatterChart>
      <c:valAx>
        <c:axId val="175121142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51208063"/>
        <c:crosses val="autoZero"/>
        <c:crossBetween val="midCat"/>
      </c:valAx>
      <c:valAx>
        <c:axId val="17512080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7512114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A181-49C7-AE96-D00454830349}"/>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A181-49C7-AE96-D00454830349}"/>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A181-49C7-AE96-D00454830349}"/>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strRef>
              <c:f>O!#REF!</c:f>
              <c:strCache>
                <c:ptCount val="1"/>
                <c:pt idx="0">
                  <c:v>#¡REF!</c:v>
                </c:pt>
              </c:strCache>
            </c:strRef>
          </c:xVal>
          <c:yVal>
            <c:numRef>
              <c:f>O!#REF!</c:f>
              <c:numCache>
                <c:formatCode>General</c:formatCode>
                <c:ptCount val="1"/>
                <c:pt idx="0">
                  <c:v>1</c:v>
                </c:pt>
              </c:numCache>
            </c:numRef>
          </c:yVal>
          <c:smooth val="0"/>
          <c:extLst>
            <c:ext xmlns:c16="http://schemas.microsoft.com/office/drawing/2014/chart" uri="{C3380CC4-5D6E-409C-BE32-E72D297353CC}">
              <c16:uniqueId val="{00000003-A181-49C7-AE96-D00454830349}"/>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8442-4EAF-919D-0DEACBEB7B27}"/>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8442-4EAF-919D-0DEACBEB7B27}"/>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8442-4EAF-919D-0DEACBEB7B27}"/>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8442-4EAF-919D-0DEACBEB7B27}"/>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1D57-47E4-87C3-C1B6A5011BFA}"/>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1D57-47E4-87C3-C1B6A5011BFA}"/>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25mA + Fibra MOF-Fe</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O!$F$15:$F$21</c:f>
              <c:numCache>
                <c:formatCode>0.00</c:formatCode>
                <c:ptCount val="7"/>
                <c:pt idx="0">
                  <c:v>9.5988708282110817</c:v>
                </c:pt>
                <c:pt idx="1">
                  <c:v>8.5826162181851302</c:v>
                </c:pt>
                <c:pt idx="2">
                  <c:v>6.9189090743523192</c:v>
                </c:pt>
                <c:pt idx="3">
                  <c:v>4.6824204343668905</c:v>
                </c:pt>
                <c:pt idx="4">
                  <c:v>2.6521877703410279</c:v>
                </c:pt>
                <c:pt idx="5">
                  <c:v>2.0589172699540135</c:v>
                </c:pt>
                <c:pt idx="6">
                  <c:v>1.4137412921732004</c:v>
                </c:pt>
              </c:numCache>
            </c:numRef>
          </c:yVal>
          <c:smooth val="0"/>
          <c:extLst>
            <c:ext xmlns:c16="http://schemas.microsoft.com/office/drawing/2014/chart" uri="{C3380CC4-5D6E-409C-BE32-E72D297353CC}">
              <c16:uniqueId val="{00000000-320F-4BFA-9473-B5A8164FD8F0}"/>
            </c:ext>
          </c:extLst>
        </c:ser>
        <c:dLbls>
          <c:showLegendKey val="0"/>
          <c:showVal val="0"/>
          <c:showCatName val="0"/>
          <c:showSerName val="0"/>
          <c:showPercent val="0"/>
          <c:showBubbleSize val="0"/>
        </c:dLbls>
        <c:axId val="1204696464"/>
        <c:axId val="1204697424"/>
      </c:scatterChart>
      <c:valAx>
        <c:axId val="12046964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25mA + Fibra MOF-Fe </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0-F0BB-4E3A-8A22-AB5F9E7B74D8}"/>
            </c:ext>
          </c:extLst>
        </c:ser>
        <c:dLbls>
          <c:showLegendKey val="0"/>
          <c:showVal val="0"/>
          <c:showCatName val="0"/>
          <c:showSerName val="0"/>
          <c:showPercent val="0"/>
          <c:showBubbleSize val="0"/>
        </c:dLbls>
        <c:axId val="1204745904"/>
        <c:axId val="1204746384"/>
      </c:scatterChart>
      <c:valAx>
        <c:axId val="12047459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Fibra MOF-Fe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D!$B$16:$B$22</c:f>
              <c:numCache>
                <c:formatCode>General</c:formatCode>
                <c:ptCount val="7"/>
                <c:pt idx="0">
                  <c:v>0</c:v>
                </c:pt>
                <c:pt idx="1">
                  <c:v>5</c:v>
                </c:pt>
                <c:pt idx="2">
                  <c:v>15</c:v>
                </c:pt>
                <c:pt idx="3">
                  <c:v>30</c:v>
                </c:pt>
                <c:pt idx="4">
                  <c:v>45</c:v>
                </c:pt>
                <c:pt idx="5">
                  <c:v>60</c:v>
                </c:pt>
                <c:pt idx="6">
                  <c:v>90</c:v>
                </c:pt>
              </c:numCache>
            </c:numRef>
          </c:xVal>
          <c:yVal>
            <c:numRef>
              <c:f>D!$G$16:$G$22</c:f>
              <c:numCache>
                <c:formatCode>0.00</c:formatCode>
                <c:ptCount val="7"/>
                <c:pt idx="0">
                  <c:v>0</c:v>
                </c:pt>
                <c:pt idx="1">
                  <c:v>16.649493730290814</c:v>
                </c:pt>
                <c:pt idx="2">
                  <c:v>63.575942188103397</c:v>
                </c:pt>
                <c:pt idx="3">
                  <c:v>73.742724591702611</c:v>
                </c:pt>
                <c:pt idx="4">
                  <c:v>79.210125740528753</c:v>
                </c:pt>
                <c:pt idx="5">
                  <c:v>80.905137853942875</c:v>
                </c:pt>
                <c:pt idx="6">
                  <c:v>77.454676435902812</c:v>
                </c:pt>
              </c:numCache>
            </c:numRef>
          </c:yVal>
          <c:smooth val="0"/>
          <c:extLst>
            <c:ext xmlns:c16="http://schemas.microsoft.com/office/drawing/2014/chart" uri="{C3380CC4-5D6E-409C-BE32-E72D297353CC}">
              <c16:uniqueId val="{00000000-81AB-48F6-ADBD-E99C4E6521F5}"/>
            </c:ext>
          </c:extLst>
        </c:ser>
        <c:ser>
          <c:idx val="1"/>
          <c:order val="1"/>
          <c:tx>
            <c:v>OA Aire</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1-81AB-48F6-ADBD-E99C4E6521F5}"/>
            </c:ext>
          </c:extLst>
        </c:ser>
        <c:ser>
          <c:idx val="2"/>
          <c:order val="2"/>
          <c:tx>
            <c:v>OA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A!$B$13:$B$19</c:f>
              <c:numCache>
                <c:formatCode>General</c:formatCode>
                <c:ptCount val="7"/>
                <c:pt idx="0">
                  <c:v>0</c:v>
                </c:pt>
                <c:pt idx="1">
                  <c:v>5</c:v>
                </c:pt>
                <c:pt idx="2">
                  <c:v>18</c:v>
                </c:pt>
                <c:pt idx="3">
                  <c:v>30</c:v>
                </c:pt>
                <c:pt idx="4">
                  <c:v>45</c:v>
                </c:pt>
                <c:pt idx="5">
                  <c:v>60</c:v>
                </c:pt>
                <c:pt idx="6">
                  <c:v>90</c:v>
                </c:pt>
              </c:numCache>
            </c:numRef>
          </c:xVal>
          <c:yVal>
            <c:numRef>
              <c:f>A!$G$13:$G$19</c:f>
              <c:numCache>
                <c:formatCode>0.00</c:formatCode>
                <c:ptCount val="7"/>
                <c:pt idx="0">
                  <c:v>0</c:v>
                </c:pt>
                <c:pt idx="1">
                  <c:v>11.888639322784442</c:v>
                </c:pt>
                <c:pt idx="2">
                  <c:v>24.787394460998136</c:v>
                </c:pt>
                <c:pt idx="3">
                  <c:v>49.517219384263775</c:v>
                </c:pt>
                <c:pt idx="4">
                  <c:v>46.069581086252413</c:v>
                </c:pt>
                <c:pt idx="5">
                  <c:v>60.373845276039752</c:v>
                </c:pt>
                <c:pt idx="6">
                  <c:v>76.143660366569605</c:v>
                </c:pt>
              </c:numCache>
            </c:numRef>
          </c:yVal>
          <c:smooth val="0"/>
          <c:extLst>
            <c:ext xmlns:c16="http://schemas.microsoft.com/office/drawing/2014/chart" uri="{C3380CC4-5D6E-409C-BE32-E72D297353CC}">
              <c16:uniqueId val="{00000002-81AB-48F6-ADBD-E99C4E6521F5}"/>
            </c:ext>
          </c:extLst>
        </c:ser>
        <c:dLbls>
          <c:showLegendKey val="0"/>
          <c:showVal val="0"/>
          <c:showCatName val="0"/>
          <c:showSerName val="0"/>
          <c:showPercent val="0"/>
          <c:showBubbleSize val="0"/>
        </c:dLbls>
        <c:axId val="493243215"/>
        <c:axId val="493248495"/>
      </c:scatterChart>
      <c:valAx>
        <c:axId val="493243215"/>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93248495"/>
        <c:crosses val="autoZero"/>
        <c:crossBetween val="midCat"/>
      </c:valAx>
      <c:valAx>
        <c:axId val="49324849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93243215"/>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EF 10 ppm SMX 25 mA</c:v>
          </c:tx>
          <c:spPr>
            <a:ln w="9525" cap="rnd">
              <a:solidFill>
                <a:srgbClr val="00B0F0"/>
              </a:solidFill>
              <a:prstDash val="sysDot"/>
              <a:round/>
            </a:ln>
            <a:effectLst/>
          </c:spPr>
          <c:marker>
            <c:symbol val="circle"/>
            <c:size val="5"/>
            <c:spPr>
              <a:solidFill>
                <a:srgbClr val="00B0F0"/>
              </a:solidFill>
              <a:ln w="9525">
                <a:solidFill>
                  <a:srgbClr val="00B0F0"/>
                </a:solidFill>
                <a:prstDash val="solid"/>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0-63FE-4FC9-AF03-0707E295F48C}"/>
            </c:ext>
          </c:extLst>
        </c:ser>
        <c:ser>
          <c:idx val="1"/>
          <c:order val="1"/>
          <c:tx>
            <c:v>EF 25 ppm SMX 25 mA</c:v>
          </c:tx>
          <c:spPr>
            <a:ln w="9525" cap="rnd">
              <a:solidFill>
                <a:srgbClr val="92D050"/>
              </a:solidFill>
              <a:prstDash val="sysDot"/>
              <a:round/>
            </a:ln>
            <a:effectLst/>
          </c:spPr>
          <c:marker>
            <c:symbol val="circle"/>
            <c:size val="5"/>
            <c:spPr>
              <a:solidFill>
                <a:srgbClr val="92D050"/>
              </a:solidFill>
              <a:ln w="9525">
                <a:solidFill>
                  <a:srgbClr val="92D050"/>
                </a:solidFill>
                <a:prstDash val="solid"/>
              </a:ln>
              <a:effectLst/>
            </c:spPr>
          </c:marker>
          <c:xVal>
            <c:numRef>
              <c:f>AA!$B$15:$B$25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AA!$G$15:$G$25</c:f>
              <c:numCache>
                <c:formatCode>0.00</c:formatCode>
                <c:ptCount val="11"/>
                <c:pt idx="0">
                  <c:v>0</c:v>
                </c:pt>
                <c:pt idx="1">
                  <c:v>10.10774756285274</c:v>
                </c:pt>
                <c:pt idx="2">
                  <c:v>21.663969688597696</c:v>
                </c:pt>
                <c:pt idx="3">
                  <c:v>43.87062398863322</c:v>
                </c:pt>
                <c:pt idx="4">
                  <c:v>68.394048229861468</c:v>
                </c:pt>
                <c:pt idx="5">
                  <c:v>86.715080712002205</c:v>
                </c:pt>
                <c:pt idx="6">
                  <c:v>94.685637605083471</c:v>
                </c:pt>
                <c:pt idx="7">
                  <c:v>96.95504598018708</c:v>
                </c:pt>
                <c:pt idx="8">
                  <c:v>98.817934246359087</c:v>
                </c:pt>
                <c:pt idx="9">
                  <c:v>99.615187275525912</c:v>
                </c:pt>
                <c:pt idx="10">
                  <c:v>99.978292615542486</c:v>
                </c:pt>
              </c:numCache>
            </c:numRef>
          </c:yVal>
          <c:smooth val="0"/>
          <c:extLst>
            <c:ext xmlns:c16="http://schemas.microsoft.com/office/drawing/2014/chart" uri="{C3380CC4-5D6E-409C-BE32-E72D297353CC}">
              <c16:uniqueId val="{00000001-63FE-4FC9-AF03-0707E295F48C}"/>
            </c:ext>
          </c:extLst>
        </c:ser>
        <c:ser>
          <c:idx val="2"/>
          <c:order val="2"/>
          <c:tx>
            <c:v>EF 50 ppm SMX 25 mA</c:v>
          </c:tx>
          <c:spPr>
            <a:ln w="9525" cap="rnd">
              <a:solidFill>
                <a:srgbClr val="CC00CC"/>
              </a:solidFill>
              <a:prstDash val="sysDot"/>
              <a:round/>
            </a:ln>
            <a:effectLst/>
          </c:spPr>
          <c:marker>
            <c:symbol val="circle"/>
            <c:size val="5"/>
            <c:spPr>
              <a:solidFill>
                <a:srgbClr val="CC00CC"/>
              </a:solidFill>
              <a:ln w="9525">
                <a:solidFill>
                  <a:srgbClr val="CC00CC"/>
                </a:solidFill>
                <a:prstDash val="solid"/>
              </a:ln>
              <a:effectLst/>
            </c:spPr>
          </c:marker>
          <c:xVal>
            <c:numRef>
              <c:f>AF!$B$15:$B$24</c:f>
              <c:numCache>
                <c:formatCode>General</c:formatCode>
                <c:ptCount val="10"/>
                <c:pt idx="0">
                  <c:v>0</c:v>
                </c:pt>
                <c:pt idx="1">
                  <c:v>5</c:v>
                </c:pt>
                <c:pt idx="2">
                  <c:v>15</c:v>
                </c:pt>
                <c:pt idx="3">
                  <c:v>30</c:v>
                </c:pt>
                <c:pt idx="4">
                  <c:v>60</c:v>
                </c:pt>
                <c:pt idx="5">
                  <c:v>90</c:v>
                </c:pt>
                <c:pt idx="6">
                  <c:v>120</c:v>
                </c:pt>
                <c:pt idx="7">
                  <c:v>150</c:v>
                </c:pt>
                <c:pt idx="8">
                  <c:v>180</c:v>
                </c:pt>
                <c:pt idx="9">
                  <c:v>240</c:v>
                </c:pt>
              </c:numCache>
            </c:numRef>
          </c:xVal>
          <c:yVal>
            <c:numRef>
              <c:f>AF!$G$15:$G$24</c:f>
              <c:numCache>
                <c:formatCode>0.00</c:formatCode>
                <c:ptCount val="10"/>
                <c:pt idx="0">
                  <c:v>0</c:v>
                </c:pt>
                <c:pt idx="1">
                  <c:v>9.5167125866515079</c:v>
                </c:pt>
                <c:pt idx="2">
                  <c:v>20.002157095373036</c:v>
                </c:pt>
                <c:pt idx="3">
                  <c:v>40.945592171704796</c:v>
                </c:pt>
                <c:pt idx="4">
                  <c:v>70.609575542460462</c:v>
                </c:pt>
                <c:pt idx="5">
                  <c:v>83.976703369971275</c:v>
                </c:pt>
                <c:pt idx="6">
                  <c:v>90.743119356008989</c:v>
                </c:pt>
                <c:pt idx="7">
                  <c:v>93.60127072527429</c:v>
                </c:pt>
                <c:pt idx="8">
                  <c:v>96.066242437909963</c:v>
                </c:pt>
                <c:pt idx="9">
                  <c:v>98.526311661061484</c:v>
                </c:pt>
              </c:numCache>
            </c:numRef>
          </c:yVal>
          <c:smooth val="0"/>
          <c:extLst>
            <c:ext xmlns:c16="http://schemas.microsoft.com/office/drawing/2014/chart" uri="{C3380CC4-5D6E-409C-BE32-E72D297353CC}">
              <c16:uniqueId val="{00000002-63FE-4FC9-AF03-0707E295F48C}"/>
            </c:ext>
          </c:extLst>
        </c:ser>
        <c:dLbls>
          <c:showLegendKey val="0"/>
          <c:showVal val="0"/>
          <c:showCatName val="0"/>
          <c:showSerName val="0"/>
          <c:showPercent val="0"/>
          <c:showBubbleSize val="0"/>
        </c:dLbls>
        <c:axId val="1545388687"/>
        <c:axId val="1545415087"/>
      </c:scatterChart>
      <c:valAx>
        <c:axId val="1545388687"/>
        <c:scaling>
          <c:orientation val="minMax"/>
          <c:max val="240"/>
          <c:min val="0"/>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45415087"/>
        <c:crosses val="autoZero"/>
        <c:crossBetween val="midCat"/>
      </c:valAx>
      <c:valAx>
        <c:axId val="1545415087"/>
        <c:scaling>
          <c:orientation val="minMax"/>
          <c:max val="100"/>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954389113204725E-2"/>
              <c:y val="0.3413659699832751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45388687"/>
        <c:crosses val="autoZero"/>
        <c:crossBetween val="midCat"/>
      </c:valAx>
      <c:spPr>
        <a:noFill/>
        <a:ln>
          <a:solidFill>
            <a:schemeClr val="bg1">
              <a:lumMod val="65000"/>
            </a:schemeClr>
          </a:solid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O!$B$15:$B$21</c:f>
              <c:numCache>
                <c:formatCode>General</c:formatCode>
                <c:ptCount val="7"/>
                <c:pt idx="0">
                  <c:v>0</c:v>
                </c:pt>
                <c:pt idx="1">
                  <c:v>5</c:v>
                </c:pt>
                <c:pt idx="2">
                  <c:v>15</c:v>
                </c:pt>
                <c:pt idx="3">
                  <c:v>30</c:v>
                </c:pt>
                <c:pt idx="4">
                  <c:v>45</c:v>
                </c:pt>
                <c:pt idx="5">
                  <c:v>60</c:v>
                </c:pt>
                <c:pt idx="6">
                  <c:v>90</c:v>
                </c:pt>
              </c:numCache>
            </c:numRef>
          </c:xVal>
          <c:yVal>
            <c:numRef>
              <c:f>O!$H$15:$H$21</c:f>
              <c:numCache>
                <c:formatCode>General</c:formatCode>
                <c:ptCount val="7"/>
                <c:pt idx="0">
                  <c:v>0</c:v>
                </c:pt>
                <c:pt idx="1">
                  <c:v>0.1119066819389776</c:v>
                </c:pt>
                <c:pt idx="2">
                  <c:v>0.3273873605076183</c:v>
                </c:pt>
                <c:pt idx="3">
                  <c:v>0.71783030642935419</c:v>
                </c:pt>
                <c:pt idx="4">
                  <c:v>1.286260596381233</c:v>
                </c:pt>
                <c:pt idx="5">
                  <c:v>1.5394652219772194</c:v>
                </c:pt>
                <c:pt idx="6">
                  <c:v>1.9154058804475553</c:v>
                </c:pt>
              </c:numCache>
            </c:numRef>
          </c:yVal>
          <c:smooth val="0"/>
          <c:extLst>
            <c:ext xmlns:c16="http://schemas.microsoft.com/office/drawing/2014/chart" uri="{C3380CC4-5D6E-409C-BE32-E72D297353CC}">
              <c16:uniqueId val="{00000000-B5FA-458C-B82D-42087681276A}"/>
            </c:ext>
          </c:extLst>
        </c:ser>
        <c:dLbls>
          <c:showLegendKey val="0"/>
          <c:showVal val="0"/>
          <c:showCatName val="0"/>
          <c:showSerName val="0"/>
          <c:showPercent val="0"/>
          <c:showBubbleSize val="0"/>
        </c:dLbls>
        <c:axId val="1545464527"/>
        <c:axId val="1545504847"/>
      </c:scatterChart>
      <c:valAx>
        <c:axId val="154546452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45504847"/>
        <c:crosses val="autoZero"/>
        <c:crossBetween val="midCat"/>
      </c:valAx>
      <c:valAx>
        <c:axId val="15455048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54546452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OA</a:t>
            </a:r>
            <a:r>
              <a:rPr lang="es-ES" baseline="0"/>
              <a:t> 25mA + Foto + Fibras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P!$F$15:$F$21</c:f>
              <c:numCache>
                <c:formatCode>0.00</c:formatCode>
                <c:ptCount val="7"/>
                <c:pt idx="0">
                  <c:v>9.5619906205891727</c:v>
                </c:pt>
                <c:pt idx="1">
                  <c:v>8.644538542093521</c:v>
                </c:pt>
                <c:pt idx="2">
                  <c:v>7.0500387014524435</c:v>
                </c:pt>
                <c:pt idx="3">
                  <c:v>4.7730273642034327</c:v>
                </c:pt>
                <c:pt idx="4">
                  <c:v>3.4180212175021629</c:v>
                </c:pt>
                <c:pt idx="5">
                  <c:v>1.7055957747120158</c:v>
                </c:pt>
                <c:pt idx="6">
                  <c:v>0.49355734644629606</c:v>
                </c:pt>
              </c:numCache>
            </c:numRef>
          </c:yVal>
          <c:smooth val="0"/>
          <c:extLst>
            <c:ext xmlns:c16="http://schemas.microsoft.com/office/drawing/2014/chart" uri="{C3380CC4-5D6E-409C-BE32-E72D297353CC}">
              <c16:uniqueId val="{00000000-AF25-4CFB-BE46-7A73451ECD63}"/>
            </c:ext>
          </c:extLst>
        </c:ser>
        <c:dLbls>
          <c:showLegendKey val="0"/>
          <c:showVal val="0"/>
          <c:showCatName val="0"/>
          <c:showSerName val="0"/>
          <c:showPercent val="0"/>
          <c:showBubbleSize val="0"/>
        </c:dLbls>
        <c:axId val="306854336"/>
        <c:axId val="378370528"/>
      </c:scatterChart>
      <c:valAx>
        <c:axId val="3068543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378370528"/>
        <c:crosses val="autoZero"/>
        <c:crossBetween val="midCat"/>
      </c:valAx>
      <c:valAx>
        <c:axId val="378370528"/>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3068543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OA</a:t>
            </a:r>
            <a:r>
              <a:rPr lang="es-ES" baseline="0"/>
              <a:t> 25mA + Foto + Fibras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00-CDB4-47F6-88FE-963EF242F9D3}"/>
            </c:ext>
          </c:extLst>
        </c:ser>
        <c:dLbls>
          <c:showLegendKey val="0"/>
          <c:showVal val="0"/>
          <c:showCatName val="0"/>
          <c:showSerName val="0"/>
          <c:showPercent val="0"/>
          <c:showBubbleSize val="0"/>
        </c:dLbls>
        <c:axId val="468208208"/>
        <c:axId val="468207248"/>
      </c:scatterChart>
      <c:valAx>
        <c:axId val="4682082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68207248"/>
        <c:crosses val="autoZero"/>
        <c:crossBetween val="midCat"/>
      </c:valAx>
      <c:valAx>
        <c:axId val="468207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682082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layout>
                <c:manualLayout>
                  <c:x val="-3.6098425196850394E-2"/>
                  <c:y val="-1.959755030621172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P!$B$15:$B$21</c:f>
              <c:numCache>
                <c:formatCode>General</c:formatCode>
                <c:ptCount val="7"/>
                <c:pt idx="0">
                  <c:v>0</c:v>
                </c:pt>
                <c:pt idx="1">
                  <c:v>5</c:v>
                </c:pt>
                <c:pt idx="2">
                  <c:v>15</c:v>
                </c:pt>
                <c:pt idx="3">
                  <c:v>30</c:v>
                </c:pt>
                <c:pt idx="4">
                  <c:v>45</c:v>
                </c:pt>
                <c:pt idx="5">
                  <c:v>60</c:v>
                </c:pt>
                <c:pt idx="6">
                  <c:v>90</c:v>
                </c:pt>
              </c:numCache>
            </c:numRef>
          </c:xVal>
          <c:yVal>
            <c:numRef>
              <c:f>P!$L$15:$L$21</c:f>
              <c:numCache>
                <c:formatCode>General</c:formatCode>
                <c:ptCount val="7"/>
                <c:pt idx="0">
                  <c:v>0</c:v>
                </c:pt>
                <c:pt idx="1">
                  <c:v>0.10086819017768446</c:v>
                </c:pt>
                <c:pt idx="2">
                  <c:v>0.30476282292188939</c:v>
                </c:pt>
                <c:pt idx="3">
                  <c:v>0.69481515816685568</c:v>
                </c:pt>
                <c:pt idx="4">
                  <c:v>1.0287341370464258</c:v>
                </c:pt>
                <c:pt idx="5">
                  <c:v>1.7238814516153942</c:v>
                </c:pt>
                <c:pt idx="6">
                  <c:v>2.9639121526198364</c:v>
                </c:pt>
              </c:numCache>
            </c:numRef>
          </c:yVal>
          <c:smooth val="0"/>
          <c:extLst>
            <c:ext xmlns:c16="http://schemas.microsoft.com/office/drawing/2014/chart" uri="{C3380CC4-5D6E-409C-BE32-E72D297353CC}">
              <c16:uniqueId val="{00000000-C5FE-4D46-98B6-9C686A63AF20}"/>
            </c:ext>
          </c:extLst>
        </c:ser>
        <c:dLbls>
          <c:showLegendKey val="0"/>
          <c:showVal val="0"/>
          <c:showCatName val="0"/>
          <c:showSerName val="0"/>
          <c:showPercent val="0"/>
          <c:showBubbleSize val="0"/>
        </c:dLbls>
        <c:axId val="1886486687"/>
        <c:axId val="1886488607"/>
      </c:scatterChart>
      <c:valAx>
        <c:axId val="188648668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86488607"/>
        <c:crosses val="autoZero"/>
        <c:crossBetween val="midCat"/>
      </c:valAx>
      <c:valAx>
        <c:axId val="188648860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8648668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P!$B$15:$B$21</c:f>
              <c:numCache>
                <c:formatCode>General</c:formatCode>
                <c:ptCount val="7"/>
                <c:pt idx="0">
                  <c:v>0</c:v>
                </c:pt>
                <c:pt idx="1">
                  <c:v>5</c:v>
                </c:pt>
                <c:pt idx="2">
                  <c:v>15</c:v>
                </c:pt>
                <c:pt idx="3">
                  <c:v>30</c:v>
                </c:pt>
                <c:pt idx="4">
                  <c:v>45</c:v>
                </c:pt>
                <c:pt idx="5">
                  <c:v>60</c:v>
                </c:pt>
                <c:pt idx="6">
                  <c:v>90</c:v>
                </c:pt>
              </c:numCache>
            </c:numRef>
          </c:xVal>
          <c:yVal>
            <c:numRef>
              <c:f>P!$M$15:$M$21</c:f>
              <c:numCache>
                <c:formatCode>0.00</c:formatCode>
                <c:ptCount val="7"/>
                <c:pt idx="0">
                  <c:v>0</c:v>
                </c:pt>
                <c:pt idx="1">
                  <c:v>0.91745207849565169</c:v>
                </c:pt>
                <c:pt idx="2">
                  <c:v>2.5119519191367292</c:v>
                </c:pt>
                <c:pt idx="3">
                  <c:v>4.7889632563857401</c:v>
                </c:pt>
                <c:pt idx="4">
                  <c:v>6.1439694030870093</c:v>
                </c:pt>
                <c:pt idx="5">
                  <c:v>7.8563948458771566</c:v>
                </c:pt>
                <c:pt idx="6">
                  <c:v>9.0684332741428761</c:v>
                </c:pt>
              </c:numCache>
            </c:numRef>
          </c:yVal>
          <c:smooth val="0"/>
          <c:extLst>
            <c:ext xmlns:c16="http://schemas.microsoft.com/office/drawing/2014/chart" uri="{C3380CC4-5D6E-409C-BE32-E72D297353CC}">
              <c16:uniqueId val="{00000000-D8CB-4AC7-92FD-C58A53953504}"/>
            </c:ext>
          </c:extLst>
        </c:ser>
        <c:dLbls>
          <c:showLegendKey val="0"/>
          <c:showVal val="0"/>
          <c:showCatName val="0"/>
          <c:showSerName val="0"/>
          <c:showPercent val="0"/>
          <c:showBubbleSize val="0"/>
        </c:dLbls>
        <c:axId val="1321450223"/>
        <c:axId val="1321451183"/>
      </c:scatterChart>
      <c:valAx>
        <c:axId val="132145022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21451183"/>
        <c:crosses val="autoZero"/>
        <c:crossBetween val="midCat"/>
      </c:valAx>
      <c:valAx>
        <c:axId val="1321451183"/>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214502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P!$N$15:$N$21</c:f>
              <c:numCache>
                <c:formatCode>General</c:formatCode>
                <c:ptCount val="7"/>
                <c:pt idx="0">
                  <c:v>0</c:v>
                </c:pt>
                <c:pt idx="1">
                  <c:v>1.1099240467463453E-2</c:v>
                </c:pt>
                <c:pt idx="2">
                  <c:v>3.7262458722641903E-2</c:v>
                </c:pt>
                <c:pt idx="3">
                  <c:v>0.10492990201749387</c:v>
                </c:pt>
                <c:pt idx="4">
                  <c:v>0.18798620327422666</c:v>
                </c:pt>
                <c:pt idx="5">
                  <c:v>0.48172465816782972</c:v>
                </c:pt>
                <c:pt idx="6">
                  <c:v>1.9215262768193608</c:v>
                </c:pt>
              </c:numCache>
            </c:numRef>
          </c:yVal>
          <c:smooth val="0"/>
          <c:extLst>
            <c:ext xmlns:c16="http://schemas.microsoft.com/office/drawing/2014/chart" uri="{C3380CC4-5D6E-409C-BE32-E72D297353CC}">
              <c16:uniqueId val="{00000000-7BD2-4EBD-A81A-5CF7285B6952}"/>
            </c:ext>
          </c:extLst>
        </c:ser>
        <c:dLbls>
          <c:showLegendKey val="0"/>
          <c:showVal val="0"/>
          <c:showCatName val="0"/>
          <c:showSerName val="0"/>
          <c:showPercent val="0"/>
          <c:showBubbleSize val="0"/>
        </c:dLbls>
        <c:axId val="1652225631"/>
        <c:axId val="1652218911"/>
      </c:scatterChart>
      <c:valAx>
        <c:axId val="165222563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52218911"/>
        <c:crosses val="autoZero"/>
        <c:crossBetween val="midCat"/>
      </c:valAx>
      <c:valAx>
        <c:axId val="165221891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65222563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 Experimento Z</a:t>
            </a:r>
          </a:p>
        </c:rich>
      </c:tx>
      <c:layout>
        <c:manualLayout>
          <c:xMode val="edge"/>
          <c:yMode val="edge"/>
          <c:x val="0.17931370484353737"/>
          <c:y val="2.240000338645720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BEDD-4124-8C0F-EF6D83234C8A}"/>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BEDD-4124-8C0F-EF6D83234C8A}"/>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BEDD-4124-8C0F-EF6D83234C8A}"/>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BEDD-4124-8C0F-EF6D83234C8A}"/>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 Experimento Z</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AE0D-498E-8180-0EC4C5EFD054}"/>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AE0D-498E-8180-0EC4C5EFD054}"/>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AE0D-498E-8180-0EC4C5EFD054}"/>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strRef>
              <c:f>Comparaciones!#REF!</c:f>
              <c:strCache>
                <c:ptCount val="1"/>
                <c:pt idx="0">
                  <c:v>#¡REF!</c:v>
                </c:pt>
              </c:strCache>
            </c:strRef>
          </c:xVal>
          <c:yVal>
            <c:numRef>
              <c:f>Comparaciones!#REF!</c:f>
              <c:numCache>
                <c:formatCode>General</c:formatCode>
                <c:ptCount val="1"/>
                <c:pt idx="0">
                  <c:v>1</c:v>
                </c:pt>
              </c:numCache>
            </c:numRef>
          </c:yVal>
          <c:smooth val="0"/>
          <c:extLst>
            <c:ext xmlns:c16="http://schemas.microsoft.com/office/drawing/2014/chart" uri="{C3380CC4-5D6E-409C-BE32-E72D297353CC}">
              <c16:uniqueId val="{00000003-AE0D-498E-8180-0EC4C5EFD054}"/>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 de fibra Experimentos Z e Y</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217B-430B-917E-52D0A81D324E}"/>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217B-430B-917E-52D0A81D324E}"/>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Control</a:t>
            </a:r>
            <a:r>
              <a:rPr lang="es-ES" baseline="0"/>
              <a:t> FOTO</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G!$F$14:$F$20</c:f>
              <c:numCache>
                <c:formatCode>0.00</c:formatCode>
                <c:ptCount val="7"/>
                <c:pt idx="0">
                  <c:v>9.6434913263215414</c:v>
                </c:pt>
                <c:pt idx="1">
                  <c:v>9.6066111186996324</c:v>
                </c:pt>
                <c:pt idx="2">
                  <c:v>9.6230023220871459</c:v>
                </c:pt>
                <c:pt idx="3">
                  <c:v>9.7031370942038873</c:v>
                </c:pt>
                <c:pt idx="4">
                  <c:v>9.7040477166143067</c:v>
                </c:pt>
                <c:pt idx="5">
                  <c:v>9.7327323225424571</c:v>
                </c:pt>
                <c:pt idx="6">
                  <c:v>9.7732550198060384</c:v>
                </c:pt>
              </c:numCache>
            </c:numRef>
          </c:yVal>
          <c:smooth val="0"/>
          <c:extLst>
            <c:ext xmlns:c16="http://schemas.microsoft.com/office/drawing/2014/chart" uri="{C3380CC4-5D6E-409C-BE32-E72D297353CC}">
              <c16:uniqueId val="{00000000-40AC-4F3C-99C7-029D8EE3452B}"/>
            </c:ext>
          </c:extLst>
        </c:ser>
        <c:dLbls>
          <c:showLegendKey val="0"/>
          <c:showVal val="0"/>
          <c:showCatName val="0"/>
          <c:showSerName val="0"/>
          <c:showPercent val="0"/>
          <c:showBubbleSize val="0"/>
        </c:dLbls>
        <c:axId val="239680528"/>
        <c:axId val="239706448"/>
      </c:scatterChart>
      <c:valAx>
        <c:axId val="2396805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706448"/>
        <c:crosses val="autoZero"/>
        <c:crossBetween val="midCat"/>
      </c:valAx>
      <c:valAx>
        <c:axId val="239706448"/>
        <c:scaling>
          <c:orientation val="minMax"/>
          <c:max val="1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layout>
            <c:manualLayout>
              <c:xMode val="edge"/>
              <c:yMode val="edge"/>
              <c:x val="1.3888888888888888E-2"/>
              <c:y val="0.2977004957713619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8052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todos los experimentos</a:t>
            </a:r>
            <a:endParaRPr lang="es-ES"/>
          </a:p>
        </c:rich>
      </c:tx>
      <c:layout>
        <c:manualLayout>
          <c:xMode val="edge"/>
          <c:yMode val="edge"/>
          <c:x val="0.30000028141785823"/>
          <c:y val="4.755344578143906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738723468334864"/>
          <c:h val="0.73780769686075254"/>
        </c:manualLayout>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1989-4D11-B8FB-41D7542C0FEA}"/>
            </c:ext>
          </c:extLst>
        </c:ser>
        <c: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I!$G$14:$G$20</c:f>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1-1989-4D11-B8FB-41D7542C0FEA}"/>
            </c:ext>
          </c:extLst>
        </c:ser>
        <c: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N!$B$15:$B$21</c:f>
              <c:numCache>
                <c:formatCode>General</c:formatCode>
                <c:ptCount val="7"/>
                <c:pt idx="0">
                  <c:v>0</c:v>
                </c:pt>
                <c:pt idx="1">
                  <c:v>5</c:v>
                </c:pt>
                <c:pt idx="2">
                  <c:v>15</c:v>
                </c:pt>
                <c:pt idx="3">
                  <c:v>30</c:v>
                </c:pt>
                <c:pt idx="4">
                  <c:v>45</c:v>
                </c:pt>
                <c:pt idx="5">
                  <c:v>60</c:v>
                </c:pt>
                <c:pt idx="6">
                  <c:v>90</c:v>
                </c:pt>
              </c:numCache>
            </c:numRef>
          </c:xVal>
          <c:yVal>
            <c:numRef>
              <c:f>N!$G$15:$G$21</c:f>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c:ext xmlns:c16="http://schemas.microsoft.com/office/drawing/2014/chart" uri="{C3380CC4-5D6E-409C-BE32-E72D297353CC}">
              <c16:uniqueId val="{00000002-1989-4D11-B8FB-41D7542C0FEA}"/>
            </c:ext>
          </c:extLst>
        </c:ser>
        <c:ser>
          <c:idx val="3"/>
          <c:order val="3"/>
          <c:tx>
            <c:v>FOTO + OA 100mA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H!$B$14:$B$20</c:f>
              <c:numCache>
                <c:formatCode>General</c:formatCode>
                <c:ptCount val="7"/>
                <c:pt idx="0">
                  <c:v>0</c:v>
                </c:pt>
                <c:pt idx="1">
                  <c:v>5</c:v>
                </c:pt>
                <c:pt idx="2">
                  <c:v>15</c:v>
                </c:pt>
                <c:pt idx="3">
                  <c:v>30</c:v>
                </c:pt>
                <c:pt idx="4">
                  <c:v>45</c:v>
                </c:pt>
                <c:pt idx="5">
                  <c:v>60</c:v>
                </c:pt>
                <c:pt idx="6">
                  <c:v>90</c:v>
                </c:pt>
              </c:numCache>
            </c:numRef>
          </c:xVal>
          <c:yVal>
            <c:numRef>
              <c:f>H!$G$14:$G$20</c:f>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c:ext xmlns:c16="http://schemas.microsoft.com/office/drawing/2014/chart" uri="{C3380CC4-5D6E-409C-BE32-E72D297353CC}">
              <c16:uniqueId val="{00000003-1989-4D11-B8FB-41D7542C0FEA}"/>
            </c:ext>
          </c:extLst>
        </c:ser>
        <c:ser>
          <c:idx val="4"/>
          <c:order val="4"/>
          <c:tx>
            <c:v>FOTO + fibra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K!$G$14:$G$20</c:f>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c:ext xmlns:c16="http://schemas.microsoft.com/office/drawing/2014/chart" uri="{C3380CC4-5D6E-409C-BE32-E72D297353CC}">
              <c16:uniqueId val="{00000004-1989-4D11-B8FB-41D7542C0FEA}"/>
            </c:ext>
          </c:extLst>
        </c:ser>
        <c:ser>
          <c:idx val="5"/>
          <c:order val="5"/>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J!$B$15:$B$21</c:f>
              <c:numCache>
                <c:formatCode>General</c:formatCode>
                <c:ptCount val="7"/>
                <c:pt idx="0">
                  <c:v>0</c:v>
                </c:pt>
                <c:pt idx="1">
                  <c:v>5</c:v>
                </c:pt>
                <c:pt idx="2">
                  <c:v>15</c:v>
                </c:pt>
                <c:pt idx="3">
                  <c:v>30</c:v>
                </c:pt>
                <c:pt idx="4">
                  <c:v>45</c:v>
                </c:pt>
                <c:pt idx="5">
                  <c:v>60</c:v>
                </c:pt>
                <c:pt idx="6">
                  <c:v>90</c:v>
                </c:pt>
              </c:numCache>
            </c:numRef>
          </c:xVal>
          <c:yVal>
            <c:numRef>
              <c:f>J!$G$15:$G$21</c:f>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c:ext xmlns:c16="http://schemas.microsoft.com/office/drawing/2014/chart" uri="{C3380CC4-5D6E-409C-BE32-E72D297353CC}">
              <c16:uniqueId val="{00000005-1989-4D11-B8FB-41D7542C0FEA}"/>
            </c:ext>
          </c:extLst>
        </c:ser>
        <c:ser>
          <c:idx val="6"/>
          <c:order val="6"/>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6-1989-4D11-B8FB-41D7542C0FEA}"/>
            </c:ext>
          </c:extLst>
        </c:ser>
        <c:ser>
          <c:idx val="7"/>
          <c:order val="7"/>
          <c:tx>
            <c:v>Experimento Y</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7-1989-4D11-B8FB-41D7542C0FEA}"/>
            </c:ext>
          </c:extLst>
        </c:ser>
        <c:ser>
          <c:idx val="8"/>
          <c:order val="8"/>
          <c:tx>
            <c:v>0A 100mA + Fibra g-C3N4</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strRef>
              <c:f>Comparaciones!#REF!</c:f>
              <c:strCache>
                <c:ptCount val="1"/>
                <c:pt idx="0">
                  <c:v>#¡REF!</c:v>
                </c:pt>
              </c:strCache>
            </c:strRef>
          </c:xVal>
          <c:yVal>
            <c:numRef>
              <c:f>Comparaciones!#REF!</c:f>
              <c:numCache>
                <c:formatCode>General</c:formatCode>
                <c:ptCount val="1"/>
                <c:pt idx="0">
                  <c:v>1</c:v>
                </c:pt>
              </c:numCache>
            </c:numRef>
          </c:yVal>
          <c:smooth val="0"/>
          <c:extLst>
            <c:ext xmlns:c16="http://schemas.microsoft.com/office/drawing/2014/chart" uri="{C3380CC4-5D6E-409C-BE32-E72D297353CC}">
              <c16:uniqueId val="{00000008-1989-4D11-B8FB-41D7542C0FEA}"/>
            </c:ext>
          </c:extLst>
        </c:ser>
        <c:dLbls>
          <c:showLegendKey val="0"/>
          <c:showVal val="0"/>
          <c:showCatName val="0"/>
          <c:showSerName val="0"/>
          <c:showPercent val="0"/>
          <c:showBubbleSize val="0"/>
        </c:dLbls>
        <c:axId val="1266466976"/>
        <c:axId val="1276622048"/>
      </c:scatterChart>
      <c:valAx>
        <c:axId val="1266466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valAx>
      <c:spPr>
        <a:noFill/>
        <a:ln>
          <a:noFill/>
        </a:ln>
        <a:effectLst/>
      </c:spPr>
    </c:plotArea>
    <c:legend>
      <c:legendPos val="r"/>
      <c:layout>
        <c:manualLayout>
          <c:xMode val="edge"/>
          <c:yMode val="edge"/>
          <c:x val="0.78315924867542774"/>
          <c:y val="0.2443342704808889"/>
          <c:w val="0.21078418665276125"/>
          <c:h val="0.5555561636149604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100mA vs 50mA</a:t>
            </a:r>
            <a:endParaRPr lang="es-ES"/>
          </a:p>
        </c:rich>
      </c:tx>
      <c:layout>
        <c:manualLayout>
          <c:xMode val="edge"/>
          <c:yMode val="edge"/>
          <c:x val="0.30000028141785823"/>
          <c:y val="4.755344578143906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8379862649324008"/>
          <c:h val="0.73780769686075254"/>
        </c:manualLayout>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2582-4041-84B5-CED99D4CC16A}"/>
            </c:ext>
          </c:extLst>
        </c:ser>
        <c: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I!$G$14:$G$20</c:f>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1-2582-4041-84B5-CED99D4CC16A}"/>
            </c:ext>
          </c:extLst>
        </c:ser>
        <c: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N!$B$15:$B$21</c:f>
              <c:numCache>
                <c:formatCode>General</c:formatCode>
                <c:ptCount val="7"/>
                <c:pt idx="0">
                  <c:v>0</c:v>
                </c:pt>
                <c:pt idx="1">
                  <c:v>5</c:v>
                </c:pt>
                <c:pt idx="2">
                  <c:v>15</c:v>
                </c:pt>
                <c:pt idx="3">
                  <c:v>30</c:v>
                </c:pt>
                <c:pt idx="4">
                  <c:v>45</c:v>
                </c:pt>
                <c:pt idx="5">
                  <c:v>60</c:v>
                </c:pt>
                <c:pt idx="6">
                  <c:v>90</c:v>
                </c:pt>
              </c:numCache>
            </c:numRef>
          </c:xVal>
          <c:yVal>
            <c:numRef>
              <c:f>N!$G$15:$G$21</c:f>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c:ext xmlns:c16="http://schemas.microsoft.com/office/drawing/2014/chart" uri="{C3380CC4-5D6E-409C-BE32-E72D297353CC}">
              <c16:uniqueId val="{00000002-2582-4041-84B5-CED99D4CC16A}"/>
            </c:ext>
          </c:extLst>
        </c:ser>
        <c:ser>
          <c:idx val="4"/>
          <c:order val="3"/>
          <c:tx>
            <c:v>FOTO + fibra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K!$G$14:$G$20</c:f>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c:ext xmlns:c16="http://schemas.microsoft.com/office/drawing/2014/chart" uri="{C3380CC4-5D6E-409C-BE32-E72D297353CC}">
              <c16:uniqueId val="{00000003-2582-4041-84B5-CED99D4CC16A}"/>
            </c:ext>
          </c:extLst>
        </c:ser>
        <c:ser>
          <c:idx val="5"/>
          <c:order val="4"/>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J!$B$15:$B$21</c:f>
              <c:numCache>
                <c:formatCode>General</c:formatCode>
                <c:ptCount val="7"/>
                <c:pt idx="0">
                  <c:v>0</c:v>
                </c:pt>
                <c:pt idx="1">
                  <c:v>5</c:v>
                </c:pt>
                <c:pt idx="2">
                  <c:v>15</c:v>
                </c:pt>
                <c:pt idx="3">
                  <c:v>30</c:v>
                </c:pt>
                <c:pt idx="4">
                  <c:v>45</c:v>
                </c:pt>
                <c:pt idx="5">
                  <c:v>60</c:v>
                </c:pt>
                <c:pt idx="6">
                  <c:v>90</c:v>
                </c:pt>
              </c:numCache>
            </c:numRef>
          </c:xVal>
          <c:yVal>
            <c:numRef>
              <c:f>J!$G$15:$G$21</c:f>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c:ext xmlns:c16="http://schemas.microsoft.com/office/drawing/2014/chart" uri="{C3380CC4-5D6E-409C-BE32-E72D297353CC}">
              <c16:uniqueId val="{00000004-2582-4041-84B5-CED99D4CC16A}"/>
            </c:ext>
          </c:extLst>
        </c:ser>
        <c:ser>
          <c:idx val="6"/>
          <c:order val="5"/>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5-2582-4041-84B5-CED99D4CC16A}"/>
            </c:ext>
          </c:extLst>
        </c:ser>
        <c:dLbls>
          <c:showLegendKey val="0"/>
          <c:showVal val="0"/>
          <c:showCatName val="0"/>
          <c:showSerName val="0"/>
          <c:showPercent val="0"/>
          <c:showBubbleSize val="0"/>
        </c:dLbls>
        <c:axId val="1266466976"/>
        <c:axId val="1276622048"/>
      </c:scatterChart>
      <c:valAx>
        <c:axId val="1266466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valAx>
      <c:spPr>
        <a:noFill/>
        <a:ln>
          <a:noFill/>
        </a:ln>
        <a:effectLst/>
      </c:spPr>
    </c:plotArea>
    <c:legend>
      <c:legendPos val="r"/>
      <c:layout>
        <c:manualLayout>
          <c:xMode val="edge"/>
          <c:yMode val="edge"/>
          <c:x val="0.78315923171852642"/>
          <c:y val="0.31863717757770071"/>
          <c:w val="0.21684076828147361"/>
          <c:h val="0.3703707757433070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todos los experimentos</a:t>
            </a:r>
            <a:endParaRPr lang="es-ES"/>
          </a:p>
        </c:rich>
      </c:tx>
      <c:layout>
        <c:manualLayout>
          <c:xMode val="edge"/>
          <c:yMode val="edge"/>
          <c:x val="0.30000028141785823"/>
          <c:y val="4.755344578143906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738723468334864"/>
          <c:h val="0.73780769686075254"/>
        </c:manualLayout>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F917-4158-AF67-DEB2804DD99C}"/>
            </c:ext>
          </c:extLst>
        </c:ser>
        <c: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I!$G$14:$G$20</c:f>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1-F917-4158-AF67-DEB2804DD99C}"/>
            </c:ext>
          </c:extLst>
        </c:ser>
        <c: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N!$B$15:$B$21</c:f>
              <c:numCache>
                <c:formatCode>General</c:formatCode>
                <c:ptCount val="7"/>
                <c:pt idx="0">
                  <c:v>0</c:v>
                </c:pt>
                <c:pt idx="1">
                  <c:v>5</c:v>
                </c:pt>
                <c:pt idx="2">
                  <c:v>15</c:v>
                </c:pt>
                <c:pt idx="3">
                  <c:v>30</c:v>
                </c:pt>
                <c:pt idx="4">
                  <c:v>45</c:v>
                </c:pt>
                <c:pt idx="5">
                  <c:v>60</c:v>
                </c:pt>
                <c:pt idx="6">
                  <c:v>90</c:v>
                </c:pt>
              </c:numCache>
            </c:numRef>
          </c:xVal>
          <c:yVal>
            <c:numRef>
              <c:f>N!$G$15:$G$21</c:f>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c:ext xmlns:c16="http://schemas.microsoft.com/office/drawing/2014/chart" uri="{C3380CC4-5D6E-409C-BE32-E72D297353CC}">
              <c16:uniqueId val="{00000002-F917-4158-AF67-DEB2804DD99C}"/>
            </c:ext>
          </c:extLst>
        </c:ser>
        <c:ser>
          <c:idx val="3"/>
          <c:order val="3"/>
          <c:tx>
            <c:v>FOTO + OA 100mA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H!$B$14:$B$20</c:f>
              <c:numCache>
                <c:formatCode>General</c:formatCode>
                <c:ptCount val="7"/>
                <c:pt idx="0">
                  <c:v>0</c:v>
                </c:pt>
                <c:pt idx="1">
                  <c:v>5</c:v>
                </c:pt>
                <c:pt idx="2">
                  <c:v>15</c:v>
                </c:pt>
                <c:pt idx="3">
                  <c:v>30</c:v>
                </c:pt>
                <c:pt idx="4">
                  <c:v>45</c:v>
                </c:pt>
                <c:pt idx="5">
                  <c:v>60</c:v>
                </c:pt>
                <c:pt idx="6">
                  <c:v>90</c:v>
                </c:pt>
              </c:numCache>
            </c:numRef>
          </c:xVal>
          <c:yVal>
            <c:numRef>
              <c:f>H!$G$14:$G$20</c:f>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c:ext xmlns:c16="http://schemas.microsoft.com/office/drawing/2014/chart" uri="{C3380CC4-5D6E-409C-BE32-E72D297353CC}">
              <c16:uniqueId val="{00000003-F917-4158-AF67-DEB2804DD99C}"/>
            </c:ext>
          </c:extLst>
        </c:ser>
        <c:ser>
          <c:idx val="4"/>
          <c:order val="4"/>
          <c:tx>
            <c:v>FOTO + fibra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K!$G$14:$G$20</c:f>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c:ext xmlns:c16="http://schemas.microsoft.com/office/drawing/2014/chart" uri="{C3380CC4-5D6E-409C-BE32-E72D297353CC}">
              <c16:uniqueId val="{00000004-F917-4158-AF67-DEB2804DD99C}"/>
            </c:ext>
          </c:extLst>
        </c:ser>
        <c:ser>
          <c:idx val="5"/>
          <c:order val="5"/>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J!$B$15:$B$21</c:f>
              <c:numCache>
                <c:formatCode>General</c:formatCode>
                <c:ptCount val="7"/>
                <c:pt idx="0">
                  <c:v>0</c:v>
                </c:pt>
                <c:pt idx="1">
                  <c:v>5</c:v>
                </c:pt>
                <c:pt idx="2">
                  <c:v>15</c:v>
                </c:pt>
                <c:pt idx="3">
                  <c:v>30</c:v>
                </c:pt>
                <c:pt idx="4">
                  <c:v>45</c:v>
                </c:pt>
                <c:pt idx="5">
                  <c:v>60</c:v>
                </c:pt>
                <c:pt idx="6">
                  <c:v>90</c:v>
                </c:pt>
              </c:numCache>
            </c:numRef>
          </c:xVal>
          <c:yVal>
            <c:numRef>
              <c:f>J!$G$15:$G$21</c:f>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c:ext xmlns:c16="http://schemas.microsoft.com/office/drawing/2014/chart" uri="{C3380CC4-5D6E-409C-BE32-E72D297353CC}">
              <c16:uniqueId val="{00000005-F917-4158-AF67-DEB2804DD99C}"/>
            </c:ext>
          </c:extLst>
        </c:ser>
        <c:ser>
          <c:idx val="6"/>
          <c:order val="6"/>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6-F917-4158-AF67-DEB2804DD99C}"/>
            </c:ext>
          </c:extLst>
        </c:ser>
        <c:ser>
          <c:idx val="7"/>
          <c:order val="7"/>
          <c:tx>
            <c:v>Experimento Y</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7-F917-4158-AF67-DEB2804DD99C}"/>
            </c:ext>
          </c:extLst>
        </c:ser>
        <c:ser>
          <c:idx val="8"/>
          <c:order val="8"/>
          <c:tx>
            <c:v>0A 100mA + Fibra g-C3N4</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strRef>
              <c:f>Comparaciones!#REF!</c:f>
              <c:strCache>
                <c:ptCount val="1"/>
                <c:pt idx="0">
                  <c:v>#¡REF!</c:v>
                </c:pt>
              </c:strCache>
            </c:strRef>
          </c:xVal>
          <c:yVal>
            <c:numRef>
              <c:f>Comparaciones!#REF!</c:f>
              <c:numCache>
                <c:formatCode>General</c:formatCode>
                <c:ptCount val="1"/>
                <c:pt idx="0">
                  <c:v>1</c:v>
                </c:pt>
              </c:numCache>
            </c:numRef>
          </c:yVal>
          <c:smooth val="0"/>
          <c:extLst>
            <c:ext xmlns:c16="http://schemas.microsoft.com/office/drawing/2014/chart" uri="{C3380CC4-5D6E-409C-BE32-E72D297353CC}">
              <c16:uniqueId val="{00000008-F917-4158-AF67-DEB2804DD99C}"/>
            </c:ext>
          </c:extLst>
        </c:ser>
        <c:ser>
          <c:idx val="9"/>
          <c:order val="9"/>
          <c:tx>
            <c:v>Control OA 25mA</c:v>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9-F917-4158-AF67-DEB2804DD99C}"/>
            </c:ext>
          </c:extLst>
        </c:ser>
        <c:ser>
          <c:idx val="10"/>
          <c:order val="10"/>
          <c:tx>
            <c:v>OA 25 mA + Fibra MOF-Fe</c:v>
          </c:tx>
          <c:spPr>
            <a:ln w="19050" cap="rnd">
              <a:solidFill>
                <a:schemeClr val="accent5">
                  <a:lumMod val="60000"/>
                </a:schemeClr>
              </a:solidFill>
              <a:round/>
            </a:ln>
            <a:effectLst/>
          </c:spPr>
          <c:marker>
            <c:symbol val="circle"/>
            <c:size val="5"/>
            <c:spPr>
              <a:solidFill>
                <a:schemeClr val="accent5">
                  <a:lumMod val="60000"/>
                </a:schemeClr>
              </a:solidFill>
              <a:ln w="9525">
                <a:solidFill>
                  <a:schemeClr val="accent5">
                    <a:lumMod val="60000"/>
                  </a:schemeClr>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A-F917-4158-AF67-DEB2804DD99C}"/>
            </c:ext>
          </c:extLst>
        </c:ser>
        <c:ser>
          <c:idx val="11"/>
          <c:order val="11"/>
          <c:tx>
            <c:v>Todo 25 mA</c:v>
          </c:tx>
          <c:spPr>
            <a:ln w="19050"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0B-F917-4158-AF67-DEB2804DD99C}"/>
            </c:ext>
          </c:extLst>
        </c:ser>
        <c:dLbls>
          <c:showLegendKey val="0"/>
          <c:showVal val="0"/>
          <c:showCatName val="0"/>
          <c:showSerName val="0"/>
          <c:showPercent val="0"/>
          <c:showBubbleSize val="0"/>
        </c:dLbls>
        <c:axId val="1266466976"/>
        <c:axId val="1276622048"/>
      </c:scatterChart>
      <c:valAx>
        <c:axId val="1266466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valAx>
      <c:spPr>
        <a:noFill/>
        <a:ln>
          <a:noFill/>
        </a:ln>
        <a:effectLst/>
      </c:spPr>
    </c:plotArea>
    <c:legend>
      <c:legendPos val="r"/>
      <c:layout>
        <c:manualLayout>
          <c:xMode val="edge"/>
          <c:yMode val="edge"/>
          <c:x val="0.78315924867542763"/>
          <c:y val="0.1602012510214198"/>
          <c:w val="0.21078418665276125"/>
          <c:h val="0.7407415514866140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Control OA distintas intensidades</a:t>
            </a:r>
            <a:endParaRPr lang="es-ES"/>
          </a:p>
        </c:rich>
      </c:tx>
      <c:layout>
        <c:manualLayout>
          <c:xMode val="edge"/>
          <c:yMode val="edge"/>
          <c:x val="0.30000028141785823"/>
          <c:y val="4.755344578143906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738723468334864"/>
          <c:h val="0.73780769686075254"/>
        </c:manualLayout>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2959-4C8D-86AD-A0D22F8E7AF9}"/>
            </c:ext>
          </c:extLst>
        </c:ser>
        <c: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I!$G$14:$G$20</c:f>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1-2959-4C8D-86AD-A0D22F8E7AF9}"/>
            </c:ext>
          </c:extLst>
        </c:ser>
        <c: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N!$B$15:$B$21</c:f>
              <c:numCache>
                <c:formatCode>General</c:formatCode>
                <c:ptCount val="7"/>
                <c:pt idx="0">
                  <c:v>0</c:v>
                </c:pt>
                <c:pt idx="1">
                  <c:v>5</c:v>
                </c:pt>
                <c:pt idx="2">
                  <c:v>15</c:v>
                </c:pt>
                <c:pt idx="3">
                  <c:v>30</c:v>
                </c:pt>
                <c:pt idx="4">
                  <c:v>45</c:v>
                </c:pt>
                <c:pt idx="5">
                  <c:v>60</c:v>
                </c:pt>
                <c:pt idx="6">
                  <c:v>90</c:v>
                </c:pt>
              </c:numCache>
            </c:numRef>
          </c:xVal>
          <c:yVal>
            <c:numRef>
              <c:f>N!$G$15:$G$21</c:f>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c:ext xmlns:c16="http://schemas.microsoft.com/office/drawing/2014/chart" uri="{C3380CC4-5D6E-409C-BE32-E72D297353CC}">
              <c16:uniqueId val="{00000002-2959-4C8D-86AD-A0D22F8E7AF9}"/>
            </c:ext>
          </c:extLst>
        </c:ser>
        <c:ser>
          <c:idx val="8"/>
          <c:order val="8"/>
          <c:tx>
            <c:v>0A 100mA + Fibra g-C3N4</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strRef>
              <c:f>Comparaciones!#REF!</c:f>
              <c:strCache>
                <c:ptCount val="1"/>
                <c:pt idx="0">
                  <c:v>#¡REF!</c:v>
                </c:pt>
              </c:strCache>
            </c:strRef>
          </c:xVal>
          <c:yVal>
            <c:numRef>
              <c:f>Comparaciones!#REF!</c:f>
              <c:numCache>
                <c:formatCode>General</c:formatCode>
                <c:ptCount val="1"/>
                <c:pt idx="0">
                  <c:v>1</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9-2959-4C8D-86AD-A0D22F8E7AF9}"/>
            </c:ext>
          </c:extLst>
        </c:ser>
        <c:ser>
          <c:idx val="9"/>
          <c:order val="9"/>
          <c:tx>
            <c:v>Control OA 25mA</c:v>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3-2959-4C8D-86AD-A0D22F8E7AF9}"/>
            </c:ext>
          </c:extLst>
        </c:ser>
        <c:dLbls>
          <c:showLegendKey val="0"/>
          <c:showVal val="0"/>
          <c:showCatName val="0"/>
          <c:showSerName val="0"/>
          <c:showPercent val="0"/>
          <c:showBubbleSize val="0"/>
        </c:dLbls>
        <c:axId val="1266466976"/>
        <c:axId val="1276622048"/>
        <c:extLst>
          <c:ext xmlns:c15="http://schemas.microsoft.com/office/drawing/2012/chart" uri="{02D57815-91ED-43cb-92C2-25804820EDAC}">
            <c15:filteredScatterSeries>
              <c15:ser>
                <c:idx val="3"/>
                <c:order val="3"/>
                <c:tx>
                  <c:v>FOTO + OA 100mA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H!$B$14:$B$20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c:ext uri="{02D57815-91ED-43cb-92C2-25804820EDAC}">
                        <c15:formulaRef>
                          <c15:sqref>H!$G$14:$G$20</c15:sqref>
                        </c15:formulaRef>
                      </c:ext>
                    </c:extLst>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c:ext xmlns:c16="http://schemas.microsoft.com/office/drawing/2014/chart" uri="{C3380CC4-5D6E-409C-BE32-E72D297353CC}">
                    <c16:uniqueId val="{00000004-2959-4C8D-86AD-A0D22F8E7AF9}"/>
                  </c:ext>
                </c:extLst>
              </c15:ser>
            </c15:filteredScatterSeries>
            <c15:filteredScatterSeries>
              <c15:ser>
                <c:idx val="4"/>
                <c:order val="4"/>
                <c:tx>
                  <c:v>FOTO + fibra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K!$B$14:$B$20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K!$G$14:$G$20</c15:sqref>
                        </c15:formulaRef>
                      </c:ext>
                    </c:extLst>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xmlns:c15="http://schemas.microsoft.com/office/drawing/2012/chart">
                  <c:ext xmlns:c16="http://schemas.microsoft.com/office/drawing/2014/chart" uri="{C3380CC4-5D6E-409C-BE32-E72D297353CC}">
                    <c16:uniqueId val="{00000005-2959-4C8D-86AD-A0D22F8E7AF9}"/>
                  </c:ext>
                </c:extLst>
              </c15:ser>
            </c15:filteredScatterSeries>
            <c15:filteredScatterSeries>
              <c15:ser>
                <c:idx val="5"/>
                <c:order val="5"/>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J!$B$15:$B$21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J!$G$15:$G$21</c15:sqref>
                        </c15:formulaRef>
                      </c:ext>
                    </c:extLst>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xmlns:c15="http://schemas.microsoft.com/office/drawing/2012/chart">
                  <c:ext xmlns:c16="http://schemas.microsoft.com/office/drawing/2014/chart" uri="{C3380CC4-5D6E-409C-BE32-E72D297353CC}">
                    <c16:uniqueId val="{00000006-2959-4C8D-86AD-A0D22F8E7AF9}"/>
                  </c:ext>
                </c:extLst>
              </c15:ser>
            </c15:filteredScatterSeries>
            <c15:filteredScatterSeries>
              <c15:ser>
                <c:idx val="6"/>
                <c:order val="6"/>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extLst xmlns:c15="http://schemas.microsoft.com/office/drawing/2012/chart">
                      <c:ext xmlns:c15="http://schemas.microsoft.com/office/drawing/2012/chart" uri="{02D57815-91ED-43cb-92C2-25804820EDAC}">
                        <c15:formulaRef>
                          <c15:sqref>L!$B$15:$B$21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L!$G$15:$G$21</c15:sqref>
                        </c15:formulaRef>
                      </c:ext>
                    </c:extLst>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xmlns:c15="http://schemas.microsoft.com/office/drawing/2012/chart">
                  <c:ext xmlns:c16="http://schemas.microsoft.com/office/drawing/2014/chart" uri="{C3380CC4-5D6E-409C-BE32-E72D297353CC}">
                    <c16:uniqueId val="{00000007-2959-4C8D-86AD-A0D22F8E7AF9}"/>
                  </c:ext>
                </c:extLst>
              </c15:ser>
            </c15:filteredScatterSeries>
            <c15:filteredScatterSeries>
              <c15:ser>
                <c:idx val="7"/>
                <c:order val="7"/>
                <c:tx>
                  <c:v>Experimento Y</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extLst xmlns:c15="http://schemas.microsoft.com/office/drawing/2012/chart">
                      <c:ext xmlns:c15="http://schemas.microsoft.com/office/drawing/2012/chart" uri="{02D57815-91ED-43cb-92C2-25804820EDAC}">
                        <c15:formulaRef>
                          <c15:sqref>M!$B$14:$B$20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M!$G$14:$G$20</c15:sqref>
                        </c15:formulaRef>
                      </c:ext>
                    </c:extLst>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xmlns:c15="http://schemas.microsoft.com/office/drawing/2012/chart">
                  <c:ext xmlns:c16="http://schemas.microsoft.com/office/drawing/2014/chart" uri="{C3380CC4-5D6E-409C-BE32-E72D297353CC}">
                    <c16:uniqueId val="{00000008-2959-4C8D-86AD-A0D22F8E7AF9}"/>
                  </c:ext>
                </c:extLst>
              </c15:ser>
            </c15:filteredScatterSeries>
            <c15:filteredScatterSeries>
              <c15:ser>
                <c:idx val="10"/>
                <c:order val="10"/>
                <c:tx>
                  <c:v>OA 25 mA + Fibra MOF-Fe</c:v>
                </c:tx>
                <c:spPr>
                  <a:ln w="19050" cap="rnd">
                    <a:solidFill>
                      <a:schemeClr val="accent5">
                        <a:lumMod val="60000"/>
                      </a:schemeClr>
                    </a:solidFill>
                    <a:round/>
                  </a:ln>
                  <a:effectLst/>
                </c:spPr>
                <c:marker>
                  <c:symbol val="circle"/>
                  <c:size val="5"/>
                  <c:spPr>
                    <a:solidFill>
                      <a:schemeClr val="accent5">
                        <a:lumMod val="60000"/>
                      </a:schemeClr>
                    </a:solidFill>
                    <a:ln w="9525">
                      <a:solidFill>
                        <a:schemeClr val="accent5">
                          <a:lumMod val="60000"/>
                        </a:schemeClr>
                      </a:solidFill>
                    </a:ln>
                    <a:effectLst/>
                  </c:spPr>
                </c:marker>
                <c:xVal>
                  <c:numRef>
                    <c:extLst xmlns:c15="http://schemas.microsoft.com/office/drawing/2012/chart">
                      <c:ext xmlns:c15="http://schemas.microsoft.com/office/drawing/2012/chart" uri="{02D57815-91ED-43cb-92C2-25804820EDAC}">
                        <c15:formulaRef>
                          <c15:sqref>O!$B$15:$B$21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O!$G$15:$G$21</c15:sqref>
                        </c15:formulaRef>
                      </c:ext>
                    </c:extLst>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xmlns:c15="http://schemas.microsoft.com/office/drawing/2012/chart">
                  <c:ext xmlns:c16="http://schemas.microsoft.com/office/drawing/2014/chart" uri="{C3380CC4-5D6E-409C-BE32-E72D297353CC}">
                    <c16:uniqueId val="{0000000A-2959-4C8D-86AD-A0D22F8E7AF9}"/>
                  </c:ext>
                </c:extLst>
              </c15:ser>
            </c15:filteredScatterSeries>
            <c15:filteredScatterSeries>
              <c15:ser>
                <c:idx val="11"/>
                <c:order val="11"/>
                <c:tx>
                  <c:v>Todo 25 mA</c:v>
                </c:tx>
                <c:spPr>
                  <a:ln w="19050"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xVal>
                  <c:numRef>
                    <c:extLst xmlns:c15="http://schemas.microsoft.com/office/drawing/2012/chart">
                      <c:ext xmlns:c15="http://schemas.microsoft.com/office/drawing/2012/chart" uri="{02D57815-91ED-43cb-92C2-25804820EDAC}">
                        <c15:formulaRef>
                          <c15:sqref>P!$B$15:$B$21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P!$G$15:$G$21</c15:sqref>
                        </c15:formulaRef>
                      </c:ext>
                    </c:extLst>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xmlns:c15="http://schemas.microsoft.com/office/drawing/2012/chart">
                  <c:ext xmlns:c16="http://schemas.microsoft.com/office/drawing/2014/chart" uri="{C3380CC4-5D6E-409C-BE32-E72D297353CC}">
                    <c16:uniqueId val="{0000000B-2959-4C8D-86AD-A0D22F8E7AF9}"/>
                  </c:ext>
                </c:extLst>
              </c15:ser>
            </c15:filteredScatterSeries>
          </c:ext>
        </c:extLst>
      </c:scatterChart>
      <c:valAx>
        <c:axId val="1266466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valAx>
      <c:spPr>
        <a:noFill/>
        <a:ln>
          <a:noFill/>
        </a:ln>
        <a:effectLst/>
      </c:spPr>
    </c:plotArea>
    <c:legend>
      <c:legendPos val="r"/>
      <c:layout>
        <c:manualLayout>
          <c:xMode val="edge"/>
          <c:yMode val="edge"/>
          <c:x val="0.78315924867542763"/>
          <c:y val="0.1602012510214198"/>
          <c:w val="0.21078418665276125"/>
          <c:h val="0.7407415514866140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OA distintas intensidades + Fibra MOF-Fe</a:t>
            </a:r>
            <a:endParaRPr lang="es-ES"/>
          </a:p>
        </c:rich>
      </c:tx>
      <c:layout>
        <c:manualLayout>
          <c:xMode val="edge"/>
          <c:yMode val="edge"/>
          <c:x val="0.30000028141785823"/>
          <c:y val="4.755344578143906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738723468334864"/>
          <c:h val="0.73780769686075254"/>
        </c:manualLayout>
      </c:layout>
      <c:scatterChart>
        <c:scatterStyle val="lineMarker"/>
        <c:varyColors val="0"/>
        <c:ser>
          <c:idx val="5"/>
          <c:order val="5"/>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J!$B$15:$B$21</c:f>
              <c:numCache>
                <c:formatCode>General</c:formatCode>
                <c:ptCount val="7"/>
                <c:pt idx="0">
                  <c:v>0</c:v>
                </c:pt>
                <c:pt idx="1">
                  <c:v>5</c:v>
                </c:pt>
                <c:pt idx="2">
                  <c:v>15</c:v>
                </c:pt>
                <c:pt idx="3">
                  <c:v>30</c:v>
                </c:pt>
                <c:pt idx="4">
                  <c:v>45</c:v>
                </c:pt>
                <c:pt idx="5">
                  <c:v>60</c:v>
                </c:pt>
                <c:pt idx="6">
                  <c:v>90</c:v>
                </c:pt>
              </c:numCache>
            </c:numRef>
          </c:xVal>
          <c:yVal>
            <c:numRef>
              <c:f>J!$G$15:$G$21</c:f>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c:ext xmlns:c16="http://schemas.microsoft.com/office/drawing/2014/chart" uri="{C3380CC4-5D6E-409C-BE32-E72D297353CC}">
              <c16:uniqueId val="{00000000-62D4-47AF-9588-D594E7E2799D}"/>
            </c:ext>
          </c:extLst>
        </c:ser>
        <c:ser>
          <c:idx val="8"/>
          <c:order val="8"/>
          <c:tx>
            <c:v>0A 100mA + Fibra g-C3N4</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strRef>
              <c:f>Comparaciones!#REF!</c:f>
              <c:strCache>
                <c:ptCount val="1"/>
                <c:pt idx="0">
                  <c:v>#¡REF!</c:v>
                </c:pt>
              </c:strCache>
            </c:strRef>
          </c:xVal>
          <c:yVal>
            <c:numRef>
              <c:f>Comparaciones!#REF!</c:f>
              <c:numCache>
                <c:formatCode>General</c:formatCode>
                <c:ptCount val="1"/>
                <c:pt idx="0">
                  <c:v>1</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9-62D4-47AF-9588-D594E7E2799D}"/>
            </c:ext>
          </c:extLst>
        </c:ser>
        <c:ser>
          <c:idx val="10"/>
          <c:order val="10"/>
          <c:tx>
            <c:v>OA 25 mA + Fibra MOF-Fe</c:v>
          </c:tx>
          <c:spPr>
            <a:ln w="19050" cap="rnd">
              <a:solidFill>
                <a:schemeClr val="accent5">
                  <a:lumMod val="60000"/>
                </a:schemeClr>
              </a:solidFill>
              <a:round/>
            </a:ln>
            <a:effectLst/>
          </c:spPr>
          <c:marker>
            <c:symbol val="circle"/>
            <c:size val="5"/>
            <c:spPr>
              <a:solidFill>
                <a:schemeClr val="accent5">
                  <a:lumMod val="60000"/>
                </a:schemeClr>
              </a:solidFill>
              <a:ln w="9525">
                <a:solidFill>
                  <a:schemeClr val="accent5">
                    <a:lumMod val="60000"/>
                  </a:schemeClr>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1-62D4-47AF-9588-D594E7E2799D}"/>
            </c:ext>
          </c:extLst>
        </c:ser>
        <c:dLbls>
          <c:showLegendKey val="0"/>
          <c:showVal val="0"/>
          <c:showCatName val="0"/>
          <c:showSerName val="0"/>
          <c:showPercent val="0"/>
          <c:showBubbleSize val="0"/>
        </c:dLbls>
        <c:axId val="1266466976"/>
        <c:axId val="1276622048"/>
        <c:extLst>
          <c:ext xmlns:c15="http://schemas.microsoft.com/office/drawing/2012/chart" uri="{02D57815-91ED-43cb-92C2-25804820EDAC}">
            <c15:filteredScatterSeries>
              <c15: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extLst>
                      <c:ext uri="{02D57815-91ED-43cb-92C2-25804820EDAC}">
                        <c15:formulaRef>
                          <c15:sqref>G!$B$14:$B$20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c:ext uri="{02D57815-91ED-43cb-92C2-25804820EDAC}">
                        <c15:formulaRef>
                          <c15:sqref>G!$G$14:$G$20</c15:sqref>
                        </c15:formulaRef>
                      </c:ext>
                    </c:extLst>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2-62D4-47AF-9588-D594E7E2799D}"/>
                  </c:ext>
                </c:extLst>
              </c15:ser>
            </c15:filteredScatterSeries>
            <c15:filteredScatterSeries>
              <c15: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extLst xmlns:c15="http://schemas.microsoft.com/office/drawing/2012/chart">
                      <c:ext xmlns:c15="http://schemas.microsoft.com/office/drawing/2012/chart" uri="{02D57815-91ED-43cb-92C2-25804820EDAC}">
                        <c15:formulaRef>
                          <c15:sqref>I!$B$14:$B$20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I!$G$14:$G$20</c15:sqref>
                        </c15:formulaRef>
                      </c:ext>
                    </c:extLst>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xmlns:c15="http://schemas.microsoft.com/office/drawing/2012/chart">
                  <c:ext xmlns:c16="http://schemas.microsoft.com/office/drawing/2014/chart" uri="{C3380CC4-5D6E-409C-BE32-E72D297353CC}">
                    <c16:uniqueId val="{00000003-62D4-47AF-9588-D594E7E2799D}"/>
                  </c:ext>
                </c:extLst>
              </c15:ser>
            </c15:filteredScatterSeries>
            <c15:filteredScatterSeries>
              <c15: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xmlns:c15="http://schemas.microsoft.com/office/drawing/2012/chart">
                      <c:ext xmlns:c15="http://schemas.microsoft.com/office/drawing/2012/chart" uri="{02D57815-91ED-43cb-92C2-25804820EDAC}">
                        <c15:formulaRef>
                          <c15:sqref>N!$B$15:$B$21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N!$G$15:$G$21</c15:sqref>
                        </c15:formulaRef>
                      </c:ext>
                    </c:extLst>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xmlns:c15="http://schemas.microsoft.com/office/drawing/2012/chart">
                  <c:ext xmlns:c16="http://schemas.microsoft.com/office/drawing/2014/chart" uri="{C3380CC4-5D6E-409C-BE32-E72D297353CC}">
                    <c16:uniqueId val="{00000004-62D4-47AF-9588-D594E7E2799D}"/>
                  </c:ext>
                </c:extLst>
              </c15:ser>
            </c15:filteredScatterSeries>
            <c15:filteredScatterSeries>
              <c15:ser>
                <c:idx val="3"/>
                <c:order val="3"/>
                <c:tx>
                  <c:v>FOTO + OA 100mA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xmlns:c15="http://schemas.microsoft.com/office/drawing/2012/chart">
                      <c:ext xmlns:c15="http://schemas.microsoft.com/office/drawing/2012/chart" uri="{02D57815-91ED-43cb-92C2-25804820EDAC}">
                        <c15:formulaRef>
                          <c15:sqref>H!$B$14:$B$20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H!$G$14:$G$20</c15:sqref>
                        </c15:formulaRef>
                      </c:ext>
                    </c:extLst>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xmlns:c15="http://schemas.microsoft.com/office/drawing/2012/chart">
                  <c:ext xmlns:c16="http://schemas.microsoft.com/office/drawing/2014/chart" uri="{C3380CC4-5D6E-409C-BE32-E72D297353CC}">
                    <c16:uniqueId val="{00000005-62D4-47AF-9588-D594E7E2799D}"/>
                  </c:ext>
                </c:extLst>
              </c15:ser>
            </c15:filteredScatterSeries>
            <c15:filteredScatterSeries>
              <c15:ser>
                <c:idx val="4"/>
                <c:order val="4"/>
                <c:tx>
                  <c:v>FOTO + fibra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extLst xmlns:c15="http://schemas.microsoft.com/office/drawing/2012/chart">
                      <c:ext xmlns:c15="http://schemas.microsoft.com/office/drawing/2012/chart" uri="{02D57815-91ED-43cb-92C2-25804820EDAC}">
                        <c15:formulaRef>
                          <c15:sqref>K!$B$14:$B$20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K!$G$14:$G$20</c15:sqref>
                        </c15:formulaRef>
                      </c:ext>
                    </c:extLst>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xmlns:c15="http://schemas.microsoft.com/office/drawing/2012/chart">
                  <c:ext xmlns:c16="http://schemas.microsoft.com/office/drawing/2014/chart" uri="{C3380CC4-5D6E-409C-BE32-E72D297353CC}">
                    <c16:uniqueId val="{00000006-62D4-47AF-9588-D594E7E2799D}"/>
                  </c:ext>
                </c:extLst>
              </c15:ser>
            </c15:filteredScatterSeries>
            <c15:filteredScatterSeries>
              <c15:ser>
                <c:idx val="6"/>
                <c:order val="6"/>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extLst xmlns:c15="http://schemas.microsoft.com/office/drawing/2012/chart">
                      <c:ext xmlns:c15="http://schemas.microsoft.com/office/drawing/2012/chart" uri="{02D57815-91ED-43cb-92C2-25804820EDAC}">
                        <c15:formulaRef>
                          <c15:sqref>L!$B$15:$B$21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L!$G$15:$G$21</c15:sqref>
                        </c15:formulaRef>
                      </c:ext>
                    </c:extLst>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xmlns:c15="http://schemas.microsoft.com/office/drawing/2012/chart">
                  <c:ext xmlns:c16="http://schemas.microsoft.com/office/drawing/2014/chart" uri="{C3380CC4-5D6E-409C-BE32-E72D297353CC}">
                    <c16:uniqueId val="{00000007-62D4-47AF-9588-D594E7E2799D}"/>
                  </c:ext>
                </c:extLst>
              </c15:ser>
            </c15:filteredScatterSeries>
            <c15:filteredScatterSeries>
              <c15:ser>
                <c:idx val="7"/>
                <c:order val="7"/>
                <c:tx>
                  <c:v>Experimento Y</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extLst xmlns:c15="http://schemas.microsoft.com/office/drawing/2012/chart">
                      <c:ext xmlns:c15="http://schemas.microsoft.com/office/drawing/2012/chart" uri="{02D57815-91ED-43cb-92C2-25804820EDAC}">
                        <c15:formulaRef>
                          <c15:sqref>M!$B$14:$B$20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M!$G$14:$G$20</c15:sqref>
                        </c15:formulaRef>
                      </c:ext>
                    </c:extLst>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xmlns:c15="http://schemas.microsoft.com/office/drawing/2012/chart">
                  <c:ext xmlns:c16="http://schemas.microsoft.com/office/drawing/2014/chart" uri="{C3380CC4-5D6E-409C-BE32-E72D297353CC}">
                    <c16:uniqueId val="{00000008-62D4-47AF-9588-D594E7E2799D}"/>
                  </c:ext>
                </c:extLst>
              </c15:ser>
            </c15:filteredScatterSeries>
            <c15:filteredScatterSeries>
              <c15:ser>
                <c:idx val="9"/>
                <c:order val="9"/>
                <c:tx>
                  <c:v>Control OA 25mA</c:v>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xVal>
                  <c:numRef>
                    <c:extLst xmlns:c15="http://schemas.microsoft.com/office/drawing/2012/chart">
                      <c:ext xmlns:c15="http://schemas.microsoft.com/office/drawing/2012/chart" uri="{02D57815-91ED-43cb-92C2-25804820EDAC}">
                        <c15:formulaRef>
                          <c15:sqref>Ñ!$B$15:$B$21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Ñ!$G$15:$G$21</c15:sqref>
                        </c15:formulaRef>
                      </c:ext>
                    </c:extLst>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xmlns:c15="http://schemas.microsoft.com/office/drawing/2012/chart">
                  <c:ext xmlns:c16="http://schemas.microsoft.com/office/drawing/2014/chart" uri="{C3380CC4-5D6E-409C-BE32-E72D297353CC}">
                    <c16:uniqueId val="{0000000A-62D4-47AF-9588-D594E7E2799D}"/>
                  </c:ext>
                </c:extLst>
              </c15:ser>
            </c15:filteredScatterSeries>
            <c15:filteredScatterSeries>
              <c15:ser>
                <c:idx val="11"/>
                <c:order val="11"/>
                <c:tx>
                  <c:v>Todo 25 mA</c:v>
                </c:tx>
                <c:spPr>
                  <a:ln w="19050"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xVal>
                  <c:numRef>
                    <c:extLst xmlns:c15="http://schemas.microsoft.com/office/drawing/2012/chart">
                      <c:ext xmlns:c15="http://schemas.microsoft.com/office/drawing/2012/chart" uri="{02D57815-91ED-43cb-92C2-25804820EDAC}">
                        <c15:formulaRef>
                          <c15:sqref>P!$B$15:$B$21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P!$G$15:$G$21</c15:sqref>
                        </c15:formulaRef>
                      </c:ext>
                    </c:extLst>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xmlns:c15="http://schemas.microsoft.com/office/drawing/2012/chart">
                  <c:ext xmlns:c16="http://schemas.microsoft.com/office/drawing/2014/chart" uri="{C3380CC4-5D6E-409C-BE32-E72D297353CC}">
                    <c16:uniqueId val="{0000000B-62D4-47AF-9588-D594E7E2799D}"/>
                  </c:ext>
                </c:extLst>
              </c15:ser>
            </c15:filteredScatterSeries>
          </c:ext>
        </c:extLst>
      </c:scatterChart>
      <c:valAx>
        <c:axId val="1266466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valAx>
      <c:spPr>
        <a:noFill/>
        <a:ln>
          <a:noFill/>
        </a:ln>
        <a:effectLst/>
      </c:spPr>
    </c:plotArea>
    <c:legend>
      <c:legendPos val="r"/>
      <c:layout>
        <c:manualLayout>
          <c:xMode val="edge"/>
          <c:yMode val="edge"/>
          <c:x val="0.78315924867542763"/>
          <c:y val="0.1602012510214198"/>
          <c:w val="0.21078418665276125"/>
          <c:h val="0.7407415514866140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Datos</a:t>
            </a:r>
            <a:r>
              <a:rPr lang="es-ES" baseline="0"/>
              <a:t> 25 mA</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738723468334864"/>
          <c:h val="0.73780769686075254"/>
        </c:manualLayout>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08BA-48CC-9043-063F47717BE2}"/>
            </c:ext>
          </c:extLst>
        </c:ser>
        <c:ser>
          <c:idx val="4"/>
          <c:order val="4"/>
          <c:tx>
            <c:v>FOTO + fibra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K!$G$14:$G$20</c:f>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c:ext xmlns:c16="http://schemas.microsoft.com/office/drawing/2014/chart" uri="{C3380CC4-5D6E-409C-BE32-E72D297353CC}">
              <c16:uniqueId val="{00000001-08BA-48CC-9043-063F47717BE2}"/>
            </c:ext>
          </c:extLst>
        </c:ser>
        <c:ser>
          <c:idx val="8"/>
          <c:order val="8"/>
          <c:tx>
            <c:v>0A 100mA + Fibra g-C3N4</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strRef>
              <c:f>Comparaciones!#REF!</c:f>
              <c:strCache>
                <c:ptCount val="1"/>
                <c:pt idx="0">
                  <c:v>#¡REF!</c:v>
                </c:pt>
              </c:strCache>
            </c:strRef>
          </c:xVal>
          <c:yVal>
            <c:numRef>
              <c:f>Comparaciones!#REF!</c:f>
              <c:numCache>
                <c:formatCode>General</c:formatCode>
                <c:ptCount val="1"/>
                <c:pt idx="0">
                  <c:v>1</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B-08BA-48CC-9043-063F47717BE2}"/>
            </c:ext>
          </c:extLst>
        </c:ser>
        <c:ser>
          <c:idx val="9"/>
          <c:order val="9"/>
          <c:tx>
            <c:v>Control OA 25mA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Ñ!$B$15:$B$21</c:f>
              <c:numCache>
                <c:formatCode>General</c:formatCode>
                <c:ptCount val="7"/>
                <c:pt idx="0">
                  <c:v>0</c:v>
                </c:pt>
                <c:pt idx="1">
                  <c:v>5</c:v>
                </c:pt>
                <c:pt idx="2">
                  <c:v>15</c:v>
                </c:pt>
                <c:pt idx="3">
                  <c:v>30</c:v>
                </c:pt>
                <c:pt idx="4">
                  <c:v>45</c:v>
                </c:pt>
                <c:pt idx="5">
                  <c:v>60</c:v>
                </c:pt>
                <c:pt idx="6">
                  <c:v>90</c:v>
                </c:pt>
              </c:numCache>
            </c:numRef>
          </c:xVal>
          <c:yVal>
            <c:numRef>
              <c:f>Ñ!$G$15:$G$21</c:f>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c:ext xmlns:c16="http://schemas.microsoft.com/office/drawing/2014/chart" uri="{C3380CC4-5D6E-409C-BE32-E72D297353CC}">
              <c16:uniqueId val="{00000002-08BA-48CC-9043-063F47717BE2}"/>
            </c:ext>
          </c:extLst>
        </c:ser>
        <c:ser>
          <c:idx val="10"/>
          <c:order val="10"/>
          <c:tx>
            <c:v>OA 25 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O!$B$15:$B$21</c:f>
              <c:numCache>
                <c:formatCode>General</c:formatCode>
                <c:ptCount val="7"/>
                <c:pt idx="0">
                  <c:v>0</c:v>
                </c:pt>
                <c:pt idx="1">
                  <c:v>5</c:v>
                </c:pt>
                <c:pt idx="2">
                  <c:v>15</c:v>
                </c:pt>
                <c:pt idx="3">
                  <c:v>30</c:v>
                </c:pt>
                <c:pt idx="4">
                  <c:v>45</c:v>
                </c:pt>
                <c:pt idx="5">
                  <c:v>60</c:v>
                </c:pt>
                <c:pt idx="6">
                  <c:v>90</c:v>
                </c:pt>
              </c:numCache>
            </c:numRef>
          </c:xVal>
          <c:yVal>
            <c:numRef>
              <c:f>O!$G$15:$G$21</c:f>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c:ext xmlns:c16="http://schemas.microsoft.com/office/drawing/2014/chart" uri="{C3380CC4-5D6E-409C-BE32-E72D297353CC}">
              <c16:uniqueId val="{00000003-08BA-48CC-9043-063F47717BE2}"/>
            </c:ext>
          </c:extLst>
        </c:ser>
        <c:ser>
          <c:idx val="11"/>
          <c:order val="11"/>
          <c:tx>
            <c:v>Todo 25 mA</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P!$B$15:$B$21</c:f>
              <c:numCache>
                <c:formatCode>General</c:formatCode>
                <c:ptCount val="7"/>
                <c:pt idx="0">
                  <c:v>0</c:v>
                </c:pt>
                <c:pt idx="1">
                  <c:v>5</c:v>
                </c:pt>
                <c:pt idx="2">
                  <c:v>15</c:v>
                </c:pt>
                <c:pt idx="3">
                  <c:v>30</c:v>
                </c:pt>
                <c:pt idx="4">
                  <c:v>45</c:v>
                </c:pt>
                <c:pt idx="5">
                  <c:v>60</c:v>
                </c:pt>
                <c:pt idx="6">
                  <c:v>90</c:v>
                </c:pt>
              </c:numCache>
            </c:numRef>
          </c:xVal>
          <c:yVal>
            <c:numRef>
              <c:f>P!$G$15:$G$21</c:f>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c:ext xmlns:c16="http://schemas.microsoft.com/office/drawing/2014/chart" uri="{C3380CC4-5D6E-409C-BE32-E72D297353CC}">
              <c16:uniqueId val="{00000004-08BA-48CC-9043-063F47717BE2}"/>
            </c:ext>
          </c:extLst>
        </c:ser>
        <c:dLbls>
          <c:showLegendKey val="0"/>
          <c:showVal val="0"/>
          <c:showCatName val="0"/>
          <c:showSerName val="0"/>
          <c:showPercent val="0"/>
          <c:showBubbleSize val="0"/>
        </c:dLbls>
        <c:axId val="1266466976"/>
        <c:axId val="1276622048"/>
        <c:extLst>
          <c:ext xmlns:c15="http://schemas.microsoft.com/office/drawing/2012/chart" uri="{02D57815-91ED-43cb-92C2-25804820EDAC}">
            <c15:filteredScatterSeries>
              <c15: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I!$B$14:$B$20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c:ext uri="{02D57815-91ED-43cb-92C2-25804820EDAC}">
                        <c15:formulaRef>
                          <c15:sqref>I!$G$14:$G$20</c15:sqref>
                        </c15:formulaRef>
                      </c:ext>
                    </c:extLst>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5-08BA-48CC-9043-063F47717BE2}"/>
                  </c:ext>
                </c:extLst>
              </c15:ser>
            </c15:filteredScatterSeries>
            <c15:filteredScatterSeries>
              <c15: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xmlns:c15="http://schemas.microsoft.com/office/drawing/2012/chart">
                      <c:ext xmlns:c15="http://schemas.microsoft.com/office/drawing/2012/chart" uri="{02D57815-91ED-43cb-92C2-25804820EDAC}">
                        <c15:formulaRef>
                          <c15:sqref>N!$B$15:$B$21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N!$G$15:$G$21</c15:sqref>
                        </c15:formulaRef>
                      </c:ext>
                    </c:extLst>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xmlns:c15="http://schemas.microsoft.com/office/drawing/2012/chart">
                  <c:ext xmlns:c16="http://schemas.microsoft.com/office/drawing/2014/chart" uri="{C3380CC4-5D6E-409C-BE32-E72D297353CC}">
                    <c16:uniqueId val="{00000006-08BA-48CC-9043-063F47717BE2}"/>
                  </c:ext>
                </c:extLst>
              </c15:ser>
            </c15:filteredScatterSeries>
            <c15:filteredScatterSeries>
              <c15:ser>
                <c:idx val="3"/>
                <c:order val="3"/>
                <c:tx>
                  <c:v>FOTO + OA 100mA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xmlns:c15="http://schemas.microsoft.com/office/drawing/2012/chart">
                      <c:ext xmlns:c15="http://schemas.microsoft.com/office/drawing/2012/chart" uri="{02D57815-91ED-43cb-92C2-25804820EDAC}">
                        <c15:formulaRef>
                          <c15:sqref>H!$B$14:$B$20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H!$G$14:$G$20</c15:sqref>
                        </c15:formulaRef>
                      </c:ext>
                    </c:extLst>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xmlns:c15="http://schemas.microsoft.com/office/drawing/2012/chart">
                  <c:ext xmlns:c16="http://schemas.microsoft.com/office/drawing/2014/chart" uri="{C3380CC4-5D6E-409C-BE32-E72D297353CC}">
                    <c16:uniqueId val="{00000007-08BA-48CC-9043-063F47717BE2}"/>
                  </c:ext>
                </c:extLst>
              </c15:ser>
            </c15:filteredScatterSeries>
            <c15:filteredScatterSeries>
              <c15:ser>
                <c:idx val="5"/>
                <c:order val="5"/>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extLst xmlns:c15="http://schemas.microsoft.com/office/drawing/2012/chart">
                      <c:ext xmlns:c15="http://schemas.microsoft.com/office/drawing/2012/chart" uri="{02D57815-91ED-43cb-92C2-25804820EDAC}">
                        <c15:formulaRef>
                          <c15:sqref>J!$B$15:$B$21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J!$G$15:$G$21</c15:sqref>
                        </c15:formulaRef>
                      </c:ext>
                    </c:extLst>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numRef>
                </c:yVal>
                <c:smooth val="0"/>
                <c:extLst xmlns:c15="http://schemas.microsoft.com/office/drawing/2012/chart">
                  <c:ext xmlns:c16="http://schemas.microsoft.com/office/drawing/2014/chart" uri="{C3380CC4-5D6E-409C-BE32-E72D297353CC}">
                    <c16:uniqueId val="{00000008-08BA-48CC-9043-063F47717BE2}"/>
                  </c:ext>
                </c:extLst>
              </c15:ser>
            </c15:filteredScatterSeries>
            <c15:filteredScatterSeries>
              <c15:ser>
                <c:idx val="6"/>
                <c:order val="6"/>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extLst xmlns:c15="http://schemas.microsoft.com/office/drawing/2012/chart">
                      <c:ext xmlns:c15="http://schemas.microsoft.com/office/drawing/2012/chart" uri="{02D57815-91ED-43cb-92C2-25804820EDAC}">
                        <c15:formulaRef>
                          <c15:sqref>L!$B$15:$B$21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L!$G$15:$G$21</c15:sqref>
                        </c15:formulaRef>
                      </c:ext>
                    </c:extLst>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xmlns:c15="http://schemas.microsoft.com/office/drawing/2012/chart">
                  <c:ext xmlns:c16="http://schemas.microsoft.com/office/drawing/2014/chart" uri="{C3380CC4-5D6E-409C-BE32-E72D297353CC}">
                    <c16:uniqueId val="{00000009-08BA-48CC-9043-063F47717BE2}"/>
                  </c:ext>
                </c:extLst>
              </c15:ser>
            </c15:filteredScatterSeries>
            <c15:filteredScatterSeries>
              <c15:ser>
                <c:idx val="7"/>
                <c:order val="7"/>
                <c:tx>
                  <c:v>Experimento Y</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extLst xmlns:c15="http://schemas.microsoft.com/office/drawing/2012/chart">
                      <c:ext xmlns:c15="http://schemas.microsoft.com/office/drawing/2012/chart" uri="{02D57815-91ED-43cb-92C2-25804820EDAC}">
                        <c15:formulaRef>
                          <c15:sqref>M!$B$14:$B$20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M!$G$14:$G$20</c15:sqref>
                        </c15:formulaRef>
                      </c:ext>
                    </c:extLst>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xmlns:c15="http://schemas.microsoft.com/office/drawing/2012/chart">
                  <c:ext xmlns:c16="http://schemas.microsoft.com/office/drawing/2014/chart" uri="{C3380CC4-5D6E-409C-BE32-E72D297353CC}">
                    <c16:uniqueId val="{0000000A-08BA-48CC-9043-063F47717BE2}"/>
                  </c:ext>
                </c:extLst>
              </c15:ser>
            </c15:filteredScatterSeries>
          </c:ext>
        </c:extLst>
      </c:scatterChart>
      <c:valAx>
        <c:axId val="1266466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valAx>
      <c:spPr>
        <a:noFill/>
        <a:ln>
          <a:noFill/>
        </a:ln>
        <a:effectLst/>
      </c:spPr>
    </c:plotArea>
    <c:legend>
      <c:legendPos val="r"/>
      <c:layout>
        <c:manualLayout>
          <c:xMode val="edge"/>
          <c:yMode val="edge"/>
          <c:x val="0.78315924867542763"/>
          <c:y val="0.1602012510214198"/>
          <c:w val="0.21078418665276125"/>
          <c:h val="0.7407415514866140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Datos</a:t>
            </a:r>
            <a:r>
              <a:rPr lang="es-ES" baseline="0"/>
              <a:t> 100 mA</a:t>
            </a:r>
            <a:endParaRPr lang="es-ES"/>
          </a:p>
        </c:rich>
      </c:tx>
      <c:layout>
        <c:manualLayout>
          <c:xMode val="edge"/>
          <c:yMode val="edge"/>
          <c:x val="0.30000028141785823"/>
          <c:y val="4.755344578143906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manualLayout>
          <c:layoutTarget val="inner"/>
          <c:xMode val="edge"/>
          <c:yMode val="edge"/>
          <c:x val="9.8231600785437578E-2"/>
          <c:y val="0.16328113591385424"/>
          <c:w val="0.6738723468334864"/>
          <c:h val="0.73780769686075254"/>
        </c:manualLayout>
      </c:layout>
      <c:scatterChart>
        <c:scatterStyle val="lineMarker"/>
        <c:varyColors val="0"/>
        <c:ser>
          <c:idx val="0"/>
          <c:order val="0"/>
          <c:tx>
            <c:v>Control FOTO</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0B5C-48D0-B22E-5BC390044FC3}"/>
            </c:ext>
          </c:extLst>
        </c:ser>
        <c:ser>
          <c:idx val="1"/>
          <c:order val="1"/>
          <c:tx>
            <c:v>Control OA 100mA</c:v>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I!$B$14:$B$20</c:f>
              <c:numCache>
                <c:formatCode>General</c:formatCode>
                <c:ptCount val="7"/>
                <c:pt idx="0">
                  <c:v>0</c:v>
                </c:pt>
                <c:pt idx="1">
                  <c:v>5</c:v>
                </c:pt>
                <c:pt idx="2">
                  <c:v>15</c:v>
                </c:pt>
                <c:pt idx="3">
                  <c:v>30</c:v>
                </c:pt>
                <c:pt idx="4">
                  <c:v>45</c:v>
                </c:pt>
                <c:pt idx="5">
                  <c:v>60</c:v>
                </c:pt>
                <c:pt idx="6">
                  <c:v>90</c:v>
                </c:pt>
              </c:numCache>
            </c:numRef>
          </c:xVal>
          <c:yVal>
            <c:numRef>
              <c:f>I!$G$14:$G$20</c:f>
              <c:numCache>
                <c:formatCode>0.00</c:formatCode>
                <c:ptCount val="7"/>
                <c:pt idx="0">
                  <c:v>0</c:v>
                </c:pt>
                <c:pt idx="1">
                  <c:v>9.5240343752951162</c:v>
                </c:pt>
                <c:pt idx="2">
                  <c:v>25.535933515912738</c:v>
                </c:pt>
                <c:pt idx="3">
                  <c:v>43.705732363773727</c:v>
                </c:pt>
                <c:pt idx="4">
                  <c:v>58.952686750401362</c:v>
                </c:pt>
                <c:pt idx="5">
                  <c:v>69.151950136934559</c:v>
                </c:pt>
                <c:pt idx="6">
                  <c:v>84.91358957408633</c:v>
                </c:pt>
              </c:numCache>
            </c:numRef>
          </c:yVal>
          <c:smooth val="0"/>
          <c:extLst>
            <c:ext xmlns:c16="http://schemas.microsoft.com/office/drawing/2014/chart" uri="{C3380CC4-5D6E-409C-BE32-E72D297353CC}">
              <c16:uniqueId val="{00000001-0B5C-48D0-B22E-5BC390044FC3}"/>
            </c:ext>
          </c:extLst>
        </c:ser>
        <c:ser>
          <c:idx val="4"/>
          <c:order val="4"/>
          <c:tx>
            <c:v>FOTO + fibra g-C3N4</c:v>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K!$B$14:$B$20</c:f>
              <c:numCache>
                <c:formatCode>General</c:formatCode>
                <c:ptCount val="7"/>
                <c:pt idx="0">
                  <c:v>0</c:v>
                </c:pt>
                <c:pt idx="1">
                  <c:v>5</c:v>
                </c:pt>
                <c:pt idx="2">
                  <c:v>15</c:v>
                </c:pt>
                <c:pt idx="3">
                  <c:v>30</c:v>
                </c:pt>
                <c:pt idx="4">
                  <c:v>45</c:v>
                </c:pt>
                <c:pt idx="5">
                  <c:v>60</c:v>
                </c:pt>
                <c:pt idx="6">
                  <c:v>90</c:v>
                </c:pt>
              </c:numCache>
            </c:numRef>
          </c:xVal>
          <c:yVal>
            <c:numRef>
              <c:f>K!$G$14:$G$20</c:f>
              <c:numCache>
                <c:formatCode>0.00</c:formatCode>
                <c:ptCount val="7"/>
                <c:pt idx="0">
                  <c:v>0</c:v>
                </c:pt>
                <c:pt idx="1">
                  <c:v>1.4249988203652177</c:v>
                </c:pt>
                <c:pt idx="2">
                  <c:v>4.4637380267069231</c:v>
                </c:pt>
                <c:pt idx="3">
                  <c:v>13.476147784645875</c:v>
                </c:pt>
                <c:pt idx="4">
                  <c:v>22.030859245977439</c:v>
                </c:pt>
                <c:pt idx="5">
                  <c:v>30.061812862737696</c:v>
                </c:pt>
                <c:pt idx="6">
                  <c:v>48.044165526353041</c:v>
                </c:pt>
              </c:numCache>
            </c:numRef>
          </c:yVal>
          <c:smooth val="0"/>
          <c:extLst>
            <c:ext xmlns:c16="http://schemas.microsoft.com/office/drawing/2014/chart" uri="{C3380CC4-5D6E-409C-BE32-E72D297353CC}">
              <c16:uniqueId val="{00000002-0B5C-48D0-B22E-5BC390044FC3}"/>
            </c:ext>
          </c:extLst>
        </c:ser>
        <c:ser>
          <c:idx val="5"/>
          <c:order val="5"/>
          <c:tx>
            <c:v>OA 100mA + Fibra MOF-Fe</c:v>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J!$B$15:$B$21</c:f>
              <c:numCache>
                <c:formatCode>General</c:formatCode>
                <c:ptCount val="7"/>
                <c:pt idx="0">
                  <c:v>0</c:v>
                </c:pt>
                <c:pt idx="1">
                  <c:v>5</c:v>
                </c:pt>
                <c:pt idx="2">
                  <c:v>15</c:v>
                </c:pt>
                <c:pt idx="3">
                  <c:v>30</c:v>
                </c:pt>
                <c:pt idx="4">
                  <c:v>45</c:v>
                </c:pt>
                <c:pt idx="5">
                  <c:v>60</c:v>
                </c:pt>
                <c:pt idx="6">
                  <c:v>90</c:v>
                </c:pt>
              </c:numCache>
              <c:extLst xmlns:c15="http://schemas.microsoft.com/office/drawing/2012/chart"/>
            </c:numRef>
          </c:xVal>
          <c:yVal>
            <c:numRef>
              <c:f>J!$G$15:$G$21</c:f>
              <c:numCache>
                <c:formatCode>0.00</c:formatCode>
                <c:ptCount val="7"/>
                <c:pt idx="0">
                  <c:v>0</c:v>
                </c:pt>
                <c:pt idx="1">
                  <c:v>28.250332636380914</c:v>
                </c:pt>
                <c:pt idx="2">
                  <c:v>39.550465690933294</c:v>
                </c:pt>
                <c:pt idx="3">
                  <c:v>63.951720205284168</c:v>
                </c:pt>
                <c:pt idx="4">
                  <c:v>63.357726667933854</c:v>
                </c:pt>
                <c:pt idx="5">
                  <c:v>68.817715263257924</c:v>
                </c:pt>
                <c:pt idx="6">
                  <c:v>79.908762592662981</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3-0B5C-48D0-B22E-5BC390044FC3}"/>
            </c:ext>
          </c:extLst>
        </c:ser>
        <c:ser>
          <c:idx val="6"/>
          <c:order val="6"/>
          <c:tx>
            <c:v>Experimento Z</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xVal>
            <c:numRef>
              <c:f>L!$B$15:$B$21</c:f>
              <c:numCache>
                <c:formatCode>General</c:formatCode>
                <c:ptCount val="7"/>
                <c:pt idx="0">
                  <c:v>0</c:v>
                </c:pt>
                <c:pt idx="1">
                  <c:v>5</c:v>
                </c:pt>
                <c:pt idx="2">
                  <c:v>15</c:v>
                </c:pt>
                <c:pt idx="3">
                  <c:v>30</c:v>
                </c:pt>
                <c:pt idx="4">
                  <c:v>45</c:v>
                </c:pt>
                <c:pt idx="5">
                  <c:v>60</c:v>
                </c:pt>
                <c:pt idx="6">
                  <c:v>90</c:v>
                </c:pt>
              </c:numCache>
              <c:extLst xmlns:c15="http://schemas.microsoft.com/office/drawing/2012/chart"/>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4-0B5C-48D0-B22E-5BC390044FC3}"/>
            </c:ext>
          </c:extLst>
        </c:ser>
        <c:ser>
          <c:idx val="8"/>
          <c:order val="8"/>
          <c:tx>
            <c:v>0A 100mA + Fibra g-C3N4</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strRef>
              <c:f>Comparaciones!#REF!</c:f>
              <c:strCache>
                <c:ptCount val="1"/>
                <c:pt idx="0">
                  <c:v>#¡REF!</c:v>
                </c:pt>
              </c:strCache>
            </c:strRef>
          </c:xVal>
          <c:yVal>
            <c:numRef>
              <c:f>Comparaciones!#REF!</c:f>
              <c:numCache>
                <c:formatCode>General</c:formatCode>
                <c:ptCount val="1"/>
                <c:pt idx="0">
                  <c:v>1</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8-0B5C-48D0-B22E-5BC390044FC3}"/>
            </c:ext>
          </c:extLst>
        </c:ser>
        <c:dLbls>
          <c:showLegendKey val="0"/>
          <c:showVal val="0"/>
          <c:showCatName val="0"/>
          <c:showSerName val="0"/>
          <c:showPercent val="0"/>
          <c:showBubbleSize val="0"/>
        </c:dLbls>
        <c:axId val="1266466976"/>
        <c:axId val="1276622048"/>
        <c:extLst>
          <c:ext xmlns:c15="http://schemas.microsoft.com/office/drawing/2012/chart" uri="{02D57815-91ED-43cb-92C2-25804820EDAC}">
            <c15:filteredScatterSeries>
              <c15:ser>
                <c:idx val="2"/>
                <c:order val="2"/>
                <c:tx>
                  <c:v>Control OA 50mA</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extLst>
                      <c:ext uri="{02D57815-91ED-43cb-92C2-25804820EDAC}">
                        <c15:formulaRef>
                          <c15:sqref>N!$B$15:$B$21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c:ext uri="{02D57815-91ED-43cb-92C2-25804820EDAC}">
                        <c15:formulaRef>
                          <c15:sqref>N!$G$15:$G$21</c15:sqref>
                        </c15:formulaRef>
                      </c:ext>
                    </c:extLst>
                    <c:numCache>
                      <c:formatCode>0.00</c:formatCode>
                      <c:ptCount val="7"/>
                      <c:pt idx="0">
                        <c:v>0</c:v>
                      </c:pt>
                      <c:pt idx="1">
                        <c:v>7.3057412411700575</c:v>
                      </c:pt>
                      <c:pt idx="2">
                        <c:v>18.328355378561614</c:v>
                      </c:pt>
                      <c:pt idx="3">
                        <c:v>34.248328829469493</c:v>
                      </c:pt>
                      <c:pt idx="4">
                        <c:v>46.863888493813121</c:v>
                      </c:pt>
                      <c:pt idx="5">
                        <c:v>59.081211776418726</c:v>
                      </c:pt>
                      <c:pt idx="6">
                        <c:v>74.939553406343336</c:v>
                      </c:pt>
                    </c:numCache>
                  </c:numRef>
                </c:yVal>
                <c:smooth val="0"/>
                <c:extLst>
                  <c:ext xmlns:c16="http://schemas.microsoft.com/office/drawing/2014/chart" uri="{C3380CC4-5D6E-409C-BE32-E72D297353CC}">
                    <c16:uniqueId val="{00000005-0B5C-48D0-B22E-5BC390044FC3}"/>
                  </c:ext>
                </c:extLst>
              </c15:ser>
            </c15:filteredScatterSeries>
            <c15:filteredScatterSeries>
              <c15:ser>
                <c:idx val="3"/>
                <c:order val="3"/>
                <c:tx>
                  <c:v>FOTO + OA 100mA</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extLst xmlns:c15="http://schemas.microsoft.com/office/drawing/2012/chart">
                      <c:ext xmlns:c15="http://schemas.microsoft.com/office/drawing/2012/chart" uri="{02D57815-91ED-43cb-92C2-25804820EDAC}">
                        <c15:formulaRef>
                          <c15:sqref>H!$B$14:$B$20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H!$G$14:$G$20</c15:sqref>
                        </c15:formulaRef>
                      </c:ext>
                    </c:extLst>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xmlns:c15="http://schemas.microsoft.com/office/drawing/2012/chart">
                  <c:ext xmlns:c16="http://schemas.microsoft.com/office/drawing/2014/chart" uri="{C3380CC4-5D6E-409C-BE32-E72D297353CC}">
                    <c16:uniqueId val="{00000006-0B5C-48D0-B22E-5BC390044FC3}"/>
                  </c:ext>
                </c:extLst>
              </c15:ser>
            </c15:filteredScatterSeries>
            <c15:filteredScatterSeries>
              <c15:ser>
                <c:idx val="7"/>
                <c:order val="7"/>
                <c:tx>
                  <c:v>Experimento Y</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extLst xmlns:c15="http://schemas.microsoft.com/office/drawing/2012/chart">
                      <c:ext xmlns:c15="http://schemas.microsoft.com/office/drawing/2012/chart" uri="{02D57815-91ED-43cb-92C2-25804820EDAC}">
                        <c15:formulaRef>
                          <c15:sqref>M!$B$14:$B$20</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M!$G$14:$G$20</c15:sqref>
                        </c15:formulaRef>
                      </c:ext>
                    </c:extLst>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xmlns:c15="http://schemas.microsoft.com/office/drawing/2012/chart">
                  <c:ext xmlns:c16="http://schemas.microsoft.com/office/drawing/2014/chart" uri="{C3380CC4-5D6E-409C-BE32-E72D297353CC}">
                    <c16:uniqueId val="{00000007-0B5C-48D0-B22E-5BC390044FC3}"/>
                  </c:ext>
                </c:extLst>
              </c15:ser>
            </c15:filteredScatterSeries>
            <c15:filteredScatterSeries>
              <c15:ser>
                <c:idx val="9"/>
                <c:order val="9"/>
                <c:tx>
                  <c:v>Control OA 25mA</c:v>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xVal>
                  <c:numRef>
                    <c:extLst xmlns:c15="http://schemas.microsoft.com/office/drawing/2012/chart">
                      <c:ext xmlns:c15="http://schemas.microsoft.com/office/drawing/2012/chart" uri="{02D57815-91ED-43cb-92C2-25804820EDAC}">
                        <c15:formulaRef>
                          <c15:sqref>Ñ!$B$15:$B$21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Ñ!$G$15:$G$21</c15:sqref>
                        </c15:formulaRef>
                      </c:ext>
                    </c:extLst>
                    <c:numCache>
                      <c:formatCode>0.00</c:formatCode>
                      <c:ptCount val="7"/>
                      <c:pt idx="0">
                        <c:v>0</c:v>
                      </c:pt>
                      <c:pt idx="1">
                        <c:v>6.8493150684931559</c:v>
                      </c:pt>
                      <c:pt idx="2">
                        <c:v>17.937091308290768</c:v>
                      </c:pt>
                      <c:pt idx="3">
                        <c:v>30.738389575676585</c:v>
                      </c:pt>
                      <c:pt idx="4">
                        <c:v>41.969357071261513</c:v>
                      </c:pt>
                      <c:pt idx="5">
                        <c:v>50.532194167342851</c:v>
                      </c:pt>
                      <c:pt idx="6">
                        <c:v>65.18065963438498</c:v>
                      </c:pt>
                    </c:numCache>
                  </c:numRef>
                </c:yVal>
                <c:smooth val="0"/>
                <c:extLst xmlns:c15="http://schemas.microsoft.com/office/drawing/2012/chart">
                  <c:ext xmlns:c16="http://schemas.microsoft.com/office/drawing/2014/chart" uri="{C3380CC4-5D6E-409C-BE32-E72D297353CC}">
                    <c16:uniqueId val="{00000009-0B5C-48D0-B22E-5BC390044FC3}"/>
                  </c:ext>
                </c:extLst>
              </c15:ser>
            </c15:filteredScatterSeries>
            <c15:filteredScatterSeries>
              <c15:ser>
                <c:idx val="10"/>
                <c:order val="10"/>
                <c:tx>
                  <c:v>OA 25 mA + Fibra MOF-Fe</c:v>
                </c:tx>
                <c:spPr>
                  <a:ln w="19050" cap="rnd">
                    <a:solidFill>
                      <a:schemeClr val="accent5">
                        <a:lumMod val="60000"/>
                      </a:schemeClr>
                    </a:solidFill>
                    <a:round/>
                  </a:ln>
                  <a:effectLst/>
                </c:spPr>
                <c:marker>
                  <c:symbol val="circle"/>
                  <c:size val="5"/>
                  <c:spPr>
                    <a:solidFill>
                      <a:schemeClr val="accent5">
                        <a:lumMod val="60000"/>
                      </a:schemeClr>
                    </a:solidFill>
                    <a:ln w="9525">
                      <a:solidFill>
                        <a:schemeClr val="accent5">
                          <a:lumMod val="60000"/>
                        </a:schemeClr>
                      </a:solidFill>
                    </a:ln>
                    <a:effectLst/>
                  </c:spPr>
                </c:marker>
                <c:xVal>
                  <c:numRef>
                    <c:extLst xmlns:c15="http://schemas.microsoft.com/office/drawing/2012/chart">
                      <c:ext xmlns:c15="http://schemas.microsoft.com/office/drawing/2012/chart" uri="{02D57815-91ED-43cb-92C2-25804820EDAC}">
                        <c15:formulaRef>
                          <c15:sqref>O!$B$15:$B$21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O!$G$15:$G$21</c15:sqref>
                        </c15:formulaRef>
                      </c:ext>
                    </c:extLst>
                    <c:numCache>
                      <c:formatCode>0.00</c:formatCode>
                      <c:ptCount val="7"/>
                      <c:pt idx="0">
                        <c:v>0</c:v>
                      </c:pt>
                      <c:pt idx="1">
                        <c:v>10.587230813015831</c:v>
                      </c:pt>
                      <c:pt idx="2">
                        <c:v>27.919552224646623</c:v>
                      </c:pt>
                      <c:pt idx="3">
                        <c:v>51.219049426050645</c:v>
                      </c:pt>
                      <c:pt idx="4">
                        <c:v>72.36979413717863</c:v>
                      </c:pt>
                      <c:pt idx="5">
                        <c:v>78.55042216108528</c:v>
                      </c:pt>
                      <c:pt idx="6">
                        <c:v>85.2717958447965</c:v>
                      </c:pt>
                    </c:numCache>
                  </c:numRef>
                </c:yVal>
                <c:smooth val="0"/>
                <c:extLst xmlns:c15="http://schemas.microsoft.com/office/drawing/2012/chart">
                  <c:ext xmlns:c16="http://schemas.microsoft.com/office/drawing/2014/chart" uri="{C3380CC4-5D6E-409C-BE32-E72D297353CC}">
                    <c16:uniqueId val="{0000000A-0B5C-48D0-B22E-5BC390044FC3}"/>
                  </c:ext>
                </c:extLst>
              </c15:ser>
            </c15:filteredScatterSeries>
            <c15:filteredScatterSeries>
              <c15:ser>
                <c:idx val="11"/>
                <c:order val="11"/>
                <c:tx>
                  <c:v>Todo 25 mA</c:v>
                </c:tx>
                <c:spPr>
                  <a:ln w="19050"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xVal>
                  <c:numRef>
                    <c:extLst xmlns:c15="http://schemas.microsoft.com/office/drawing/2012/chart">
                      <c:ext xmlns:c15="http://schemas.microsoft.com/office/drawing/2012/chart" uri="{02D57815-91ED-43cb-92C2-25804820EDAC}">
                        <c15:formulaRef>
                          <c15:sqref>P!$B$15:$B$21</c15:sqref>
                        </c15:formulaRef>
                      </c:ext>
                    </c:extLst>
                    <c:numCache>
                      <c:formatCode>General</c:formatCode>
                      <c:ptCount val="7"/>
                      <c:pt idx="0">
                        <c:v>0</c:v>
                      </c:pt>
                      <c:pt idx="1">
                        <c:v>5</c:v>
                      </c:pt>
                      <c:pt idx="2">
                        <c:v>15</c:v>
                      </c:pt>
                      <c:pt idx="3">
                        <c:v>30</c:v>
                      </c:pt>
                      <c:pt idx="4">
                        <c:v>45</c:v>
                      </c:pt>
                      <c:pt idx="5">
                        <c:v>60</c:v>
                      </c:pt>
                      <c:pt idx="6">
                        <c:v>90</c:v>
                      </c:pt>
                    </c:numCache>
                  </c:numRef>
                </c:xVal>
                <c:yVal>
                  <c:numRef>
                    <c:extLst xmlns:c15="http://schemas.microsoft.com/office/drawing/2012/chart">
                      <c:ext xmlns:c15="http://schemas.microsoft.com/office/drawing/2012/chart" uri="{02D57815-91ED-43cb-92C2-25804820EDAC}">
                        <c15:formulaRef>
                          <c15:sqref>P!$G$15:$G$21</c15:sqref>
                        </c15:formulaRef>
                      </c:ext>
                    </c:extLst>
                    <c:numCache>
                      <c:formatCode>0.00</c:formatCode>
                      <c:ptCount val="7"/>
                      <c:pt idx="0">
                        <c:v>0</c:v>
                      </c:pt>
                      <c:pt idx="1">
                        <c:v>9.5947812008951949</c:v>
                      </c:pt>
                      <c:pt idx="2">
                        <c:v>26.270177610589961</c:v>
                      </c:pt>
                      <c:pt idx="3">
                        <c:v>50.083329365268327</c:v>
                      </c:pt>
                      <c:pt idx="4">
                        <c:v>64.254083138898139</c:v>
                      </c:pt>
                      <c:pt idx="5">
                        <c:v>82.16275415456407</c:v>
                      </c:pt>
                      <c:pt idx="6">
                        <c:v>94.838341031379443</c:v>
                      </c:pt>
                    </c:numCache>
                  </c:numRef>
                </c:yVal>
                <c:smooth val="0"/>
                <c:extLst xmlns:c15="http://schemas.microsoft.com/office/drawing/2012/chart">
                  <c:ext xmlns:c16="http://schemas.microsoft.com/office/drawing/2014/chart" uri="{C3380CC4-5D6E-409C-BE32-E72D297353CC}">
                    <c16:uniqueId val="{0000000B-0B5C-48D0-B22E-5BC390044FC3}"/>
                  </c:ext>
                </c:extLst>
              </c15:ser>
            </c15:filteredScatterSeries>
          </c:ext>
        </c:extLst>
      </c:scatterChart>
      <c:valAx>
        <c:axId val="1266466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76622048"/>
        <c:crosses val="autoZero"/>
        <c:crossBetween val="midCat"/>
      </c:valAx>
      <c:valAx>
        <c:axId val="1276622048"/>
        <c:scaling>
          <c:orientation val="minMax"/>
          <c:max val="10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layout>
            <c:manualLayout>
              <c:xMode val="edge"/>
              <c:yMode val="edge"/>
              <c:x val="1.4469653035949681E-2"/>
              <c:y val="0.3341478746089889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66466976"/>
        <c:crosses val="autoZero"/>
        <c:crossBetween val="midCat"/>
      </c:valAx>
      <c:spPr>
        <a:noFill/>
        <a:ln>
          <a:noFill/>
        </a:ln>
        <a:effectLst/>
      </c:spPr>
    </c:plotArea>
    <c:legend>
      <c:legendPos val="r"/>
      <c:layout>
        <c:manualLayout>
          <c:xMode val="edge"/>
          <c:yMode val="edge"/>
          <c:x val="0.78315924867542763"/>
          <c:y val="0.1602012510214198"/>
          <c:w val="0.21078418665276125"/>
          <c:h val="0.7407415514866140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5F13-438F-B960-BE7C6C8274B5}"/>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5F13-438F-B960-BE7C6C8274B5}"/>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5F13-438F-B960-BE7C6C8274B5}"/>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5F13-438F-B960-BE7C6C8274B5}"/>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B616-4A01-943E-246A7EE04B58}"/>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B616-4A01-943E-246A7EE04B58}"/>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B616-4A01-943E-246A7EE04B58}"/>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B616-4A01-943E-246A7EE04B58}"/>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DE92-4D3C-B591-17A58333FA2C}"/>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DE92-4D3C-B591-17A58333FA2C}"/>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Control</a:t>
            </a:r>
            <a:r>
              <a:rPr lang="es-ES" baseline="0"/>
              <a:t> FOTO</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G!$B$14:$B$20</c:f>
              <c:numCache>
                <c:formatCode>General</c:formatCode>
                <c:ptCount val="7"/>
                <c:pt idx="0">
                  <c:v>0</c:v>
                </c:pt>
                <c:pt idx="1">
                  <c:v>5</c:v>
                </c:pt>
                <c:pt idx="2">
                  <c:v>15</c:v>
                </c:pt>
                <c:pt idx="3">
                  <c:v>30</c:v>
                </c:pt>
                <c:pt idx="4">
                  <c:v>45</c:v>
                </c:pt>
                <c:pt idx="5">
                  <c:v>60</c:v>
                </c:pt>
                <c:pt idx="6">
                  <c:v>90</c:v>
                </c:pt>
              </c:numCache>
            </c:numRef>
          </c:xVal>
          <c:yVal>
            <c:numRef>
              <c:f>G!$G$14:$G$20</c:f>
              <c:numCache>
                <c:formatCode>0.00</c:formatCode>
                <c:ptCount val="7"/>
                <c:pt idx="0">
                  <c:v>0</c:v>
                </c:pt>
                <c:pt idx="1">
                  <c:v>0.38243626062322372</c:v>
                </c:pt>
                <c:pt idx="2">
                  <c:v>0.21246458923514064</c:v>
                </c:pt>
                <c:pt idx="3">
                  <c:v>-0.61850802644002001</c:v>
                </c:pt>
                <c:pt idx="4">
                  <c:v>-0.62795089707271179</c:v>
                </c:pt>
                <c:pt idx="5">
                  <c:v>-0.92540132200187553</c:v>
                </c:pt>
                <c:pt idx="6">
                  <c:v>-1.345609065155811</c:v>
                </c:pt>
              </c:numCache>
            </c:numRef>
          </c:yVal>
          <c:smooth val="0"/>
          <c:extLst>
            <c:ext xmlns:c16="http://schemas.microsoft.com/office/drawing/2014/chart" uri="{C3380CC4-5D6E-409C-BE32-E72D297353CC}">
              <c16:uniqueId val="{00000000-0882-4D1F-B4BC-69CE5DFC4DE1}"/>
            </c:ext>
          </c:extLst>
        </c:ser>
        <c:dLbls>
          <c:showLegendKey val="0"/>
          <c:showVal val="0"/>
          <c:showCatName val="0"/>
          <c:showSerName val="0"/>
          <c:showPercent val="0"/>
          <c:showBubbleSize val="0"/>
        </c:dLbls>
        <c:axId val="239657008"/>
        <c:axId val="239678128"/>
      </c:scatterChart>
      <c:valAx>
        <c:axId val="2396570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78128"/>
        <c:crosses val="autoZero"/>
        <c:crossBetween val="midCat"/>
      </c:valAx>
      <c:valAx>
        <c:axId val="23967812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570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25mA + Fibra MOF-Fe</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Foto 25 ppm</c:v>
          </c:tx>
          <c:spPr>
            <a:ln w="25400" cap="rnd">
              <a:noFill/>
              <a:round/>
            </a:ln>
            <a:effectLst/>
          </c:spPr>
          <c:marker>
            <c:symbol val="circle"/>
            <c:size val="5"/>
            <c:spPr>
              <a:solidFill>
                <a:schemeClr val="accent1"/>
              </a:solidFill>
              <a:ln w="9525">
                <a:solidFill>
                  <a:schemeClr val="accent1"/>
                </a:solidFill>
              </a:ln>
              <a:effectLst/>
            </c:spPr>
          </c:marker>
          <c:xVal>
            <c:numRef>
              <c:f>Q!$B$15:$B$25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Q!$F$15:$F$25</c:f>
              <c:numCache>
                <c:formatCode>0.00</c:formatCode>
                <c:ptCount val="11"/>
                <c:pt idx="0">
                  <c:v>24.243928043135945</c:v>
                </c:pt>
                <c:pt idx="1">
                  <c:v>24.25060838860524</c:v>
                </c:pt>
                <c:pt idx="2">
                  <c:v>24.11556997661879</c:v>
                </c:pt>
                <c:pt idx="3">
                  <c:v>24.243450875602424</c:v>
                </c:pt>
                <c:pt idx="4">
                  <c:v>24.358925418714509</c:v>
                </c:pt>
                <c:pt idx="5">
                  <c:v>24.434795056544356</c:v>
                </c:pt>
                <c:pt idx="6">
                  <c:v>24.557427112659255</c:v>
                </c:pt>
                <c:pt idx="7">
                  <c:v>24.201460132652574</c:v>
                </c:pt>
                <c:pt idx="8">
                  <c:v>24.576990981533619</c:v>
                </c:pt>
                <c:pt idx="9">
                  <c:v>24.816051915827646</c:v>
                </c:pt>
                <c:pt idx="10">
                  <c:v>24.749248461134705</c:v>
                </c:pt>
              </c:numCache>
            </c:numRef>
          </c:yVal>
          <c:smooth val="0"/>
          <c:extLst>
            <c:ext xmlns:c16="http://schemas.microsoft.com/office/drawing/2014/chart" uri="{C3380CC4-5D6E-409C-BE32-E72D297353CC}">
              <c16:uniqueId val="{00000000-40A1-4445-BB0F-1EAF9AE015E2}"/>
            </c:ext>
          </c:extLst>
        </c:ser>
        <c:dLbls>
          <c:showLegendKey val="0"/>
          <c:showVal val="0"/>
          <c:showCatName val="0"/>
          <c:showSerName val="0"/>
          <c:showPercent val="0"/>
          <c:showBubbleSize val="0"/>
        </c:dLbls>
        <c:axId val="1204696464"/>
        <c:axId val="1204697424"/>
      </c:scatterChart>
      <c:valAx>
        <c:axId val="120469646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25"/>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B559-4D0F-B9F7-9F7A9D394B2F}"/>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B559-4D0F-B9F7-9F7A9D394B2F}"/>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B559-4D0F-B9F7-9F7A9D394B2F}"/>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B559-4D0F-B9F7-9F7A9D394B2F}"/>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7523-42DD-B734-908083FE328C}"/>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7523-42DD-B734-908083FE328C}"/>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7523-42DD-B734-908083FE328C}"/>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7523-42DD-B734-908083FE328C}"/>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AB28-41C2-975E-0FBE069BF826}"/>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AB28-41C2-975E-0FBE069BF826}"/>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25mA + Fibra MOF-Fe</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 25 mA 25 ppm</c:v>
          </c:tx>
          <c:spPr>
            <a:ln w="25400" cap="rnd">
              <a:noFill/>
              <a:round/>
            </a:ln>
            <a:effectLst/>
          </c:spPr>
          <c:marker>
            <c:symbol val="circle"/>
            <c:size val="5"/>
            <c:spPr>
              <a:solidFill>
                <a:schemeClr val="accent1"/>
              </a:solidFill>
              <a:ln w="9525">
                <a:solidFill>
                  <a:schemeClr val="accent1"/>
                </a:solidFill>
              </a:ln>
              <a:effectLst/>
            </c:spPr>
          </c:marker>
          <c:xVal>
            <c:numRef>
              <c:f>'R'!$B$15:$B$25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'R'!$F$15:$F$25</c:f>
              <c:numCache>
                <c:formatCode>0.00</c:formatCode>
                <c:ptCount val="11"/>
                <c:pt idx="0">
                  <c:v>24.100370081807554</c:v>
                </c:pt>
                <c:pt idx="1">
                  <c:v>22.555709309538578</c:v>
                </c:pt>
                <c:pt idx="2">
                  <c:v>20.156033783461375</c:v>
                </c:pt>
                <c:pt idx="3">
                  <c:v>17.126974280669945</c:v>
                </c:pt>
                <c:pt idx="4">
                  <c:v>12.085222121486854</c:v>
                </c:pt>
                <c:pt idx="5">
                  <c:v>8.3895595743665599</c:v>
                </c:pt>
                <c:pt idx="6">
                  <c:v>5.6095815240731017</c:v>
                </c:pt>
                <c:pt idx="7">
                  <c:v>3.646037123634108</c:v>
                </c:pt>
                <c:pt idx="8">
                  <c:v>2.5590494822732262</c:v>
                </c:pt>
                <c:pt idx="9">
                  <c:v>1.6791525504604665</c:v>
                </c:pt>
                <c:pt idx="10">
                  <c:v>1.0435653958104691</c:v>
                </c:pt>
              </c:numCache>
            </c:numRef>
          </c:yVal>
          <c:smooth val="0"/>
          <c:extLst>
            <c:ext xmlns:c16="http://schemas.microsoft.com/office/drawing/2014/chart" uri="{C3380CC4-5D6E-409C-BE32-E72D297353CC}">
              <c16:uniqueId val="{00000000-0FA8-447A-A6E0-CB16C6DFA964}"/>
            </c:ext>
          </c:extLst>
        </c:ser>
        <c:dLbls>
          <c:showLegendKey val="0"/>
          <c:showVal val="0"/>
          <c:showCatName val="0"/>
          <c:showSerName val="0"/>
          <c:showPercent val="0"/>
          <c:showBubbleSize val="0"/>
        </c:dLbls>
        <c:axId val="1204696464"/>
        <c:axId val="1204697424"/>
      </c:scatterChart>
      <c:valAx>
        <c:axId val="120469646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2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25mA + Fibra MOF-Fe </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OA 25 mA 25 ppm</c:v>
          </c:tx>
          <c:spPr>
            <a:ln w="25400" cap="rnd">
              <a:noFill/>
              <a:round/>
            </a:ln>
            <a:effectLst/>
          </c:spPr>
          <c:marker>
            <c:symbol val="circle"/>
            <c:size val="5"/>
            <c:spPr>
              <a:solidFill>
                <a:schemeClr val="accent1"/>
              </a:solidFill>
              <a:ln w="9525">
                <a:solidFill>
                  <a:schemeClr val="accent1"/>
                </a:solidFill>
              </a:ln>
              <a:effectLst/>
            </c:spPr>
          </c:marker>
          <c:xVal>
            <c:numRef>
              <c:f>'R'!$B$15:$B$25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'R'!$G$15:$G$25</c:f>
              <c:numCache>
                <c:formatCode>0.00</c:formatCode>
                <c:ptCount val="11"/>
                <c:pt idx="0">
                  <c:v>0</c:v>
                </c:pt>
                <c:pt idx="1">
                  <c:v>6.4092823762693234</c:v>
                </c:pt>
                <c:pt idx="2">
                  <c:v>16.366289334799916</c:v>
                </c:pt>
                <c:pt idx="3">
                  <c:v>28.934807961316572</c:v>
                </c:pt>
                <c:pt idx="4">
                  <c:v>49.854620155358006</c:v>
                </c:pt>
                <c:pt idx="5">
                  <c:v>65.189084043570276</c:v>
                </c:pt>
                <c:pt idx="6">
                  <c:v>76.724085542953731</c:v>
                </c:pt>
                <c:pt idx="7">
                  <c:v>84.871447570067133</c:v>
                </c:pt>
                <c:pt idx="8">
                  <c:v>89.38170047353357</c:v>
                </c:pt>
                <c:pt idx="9">
                  <c:v>93.032669022257082</c:v>
                </c:pt>
                <c:pt idx="10">
                  <c:v>95.669919622528056</c:v>
                </c:pt>
              </c:numCache>
            </c:numRef>
          </c:yVal>
          <c:smooth val="0"/>
          <c:extLst>
            <c:ext xmlns:c16="http://schemas.microsoft.com/office/drawing/2014/chart" uri="{C3380CC4-5D6E-409C-BE32-E72D297353CC}">
              <c16:uniqueId val="{00000000-CA18-4FF0-98A2-814647E51494}"/>
            </c:ext>
          </c:extLst>
        </c:ser>
        <c:dLbls>
          <c:showLegendKey val="0"/>
          <c:showVal val="0"/>
          <c:showCatName val="0"/>
          <c:showSerName val="0"/>
          <c:showPercent val="0"/>
          <c:showBubbleSize val="0"/>
        </c:dLbls>
        <c:axId val="1204745904"/>
        <c:axId val="1204746384"/>
      </c:scatterChart>
      <c:valAx>
        <c:axId val="120474590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5F51-4BA9-8A33-68452E19ABCB}"/>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5F51-4BA9-8A33-68452E19ABCB}"/>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5F51-4BA9-8A33-68452E19ABCB}"/>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5F51-4BA9-8A33-68452E19ABCB}"/>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2FAA-4D33-83A8-628C42D5121C}"/>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2FAA-4D33-83A8-628C42D5121C}"/>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2FAA-4D33-83A8-628C42D5121C}"/>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2FAA-4D33-83A8-628C42D5121C}"/>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7441-4FAD-B10F-C15042A2D0F5}"/>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7441-4FAD-B10F-C15042A2D0F5}"/>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25mA + Fibra MOF-Fe</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S!$B$15:$B$25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S!$F$15:$F$25</c:f>
              <c:numCache>
                <c:formatCode>0.00</c:formatCode>
                <c:ptCount val="11"/>
                <c:pt idx="0">
                  <c:v>24.09123443240922</c:v>
                </c:pt>
                <c:pt idx="1">
                  <c:v>22.243641742615836</c:v>
                </c:pt>
                <c:pt idx="2">
                  <c:v>20.023858376676049</c:v>
                </c:pt>
                <c:pt idx="3">
                  <c:v>16.194588920169874</c:v>
                </c:pt>
                <c:pt idx="4">
                  <c:v>9.3677530180846507</c:v>
                </c:pt>
                <c:pt idx="5">
                  <c:v>5.9039938922555706</c:v>
                </c:pt>
                <c:pt idx="6">
                  <c:v>4.5058930190389841</c:v>
                </c:pt>
                <c:pt idx="7">
                  <c:v>3.6102495586200316</c:v>
                </c:pt>
                <c:pt idx="8">
                  <c:v>2.3104451973087752</c:v>
                </c:pt>
                <c:pt idx="9">
                  <c:v>2.4722049911724007</c:v>
                </c:pt>
                <c:pt idx="10">
                  <c:v>1.5207329293314882</c:v>
                </c:pt>
              </c:numCache>
            </c:numRef>
          </c:yVal>
          <c:smooth val="0"/>
          <c:extLst>
            <c:ext xmlns:c16="http://schemas.microsoft.com/office/drawing/2014/chart" uri="{C3380CC4-5D6E-409C-BE32-E72D297353CC}">
              <c16:uniqueId val="{00000000-4E54-49D1-8A80-0BCDA4847B2E}"/>
            </c:ext>
          </c:extLst>
        </c:ser>
        <c:dLbls>
          <c:showLegendKey val="0"/>
          <c:showVal val="0"/>
          <c:showCatName val="0"/>
          <c:showSerName val="0"/>
          <c:showPercent val="0"/>
          <c:showBubbleSize val="0"/>
        </c:dLbls>
        <c:axId val="1204696464"/>
        <c:axId val="1204697424"/>
      </c:scatterChart>
      <c:valAx>
        <c:axId val="120469646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2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FOTO</a:t>
            </a:r>
            <a:r>
              <a:rPr lang="es-ES" baseline="0"/>
              <a:t> + </a:t>
            </a:r>
            <a:r>
              <a:rPr lang="es-ES"/>
              <a:t>OA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H!$B$14:$B$20</c:f>
              <c:numCache>
                <c:formatCode>General</c:formatCode>
                <c:ptCount val="7"/>
                <c:pt idx="0">
                  <c:v>0</c:v>
                </c:pt>
                <c:pt idx="1">
                  <c:v>5</c:v>
                </c:pt>
                <c:pt idx="2">
                  <c:v>15</c:v>
                </c:pt>
                <c:pt idx="3">
                  <c:v>30</c:v>
                </c:pt>
                <c:pt idx="4">
                  <c:v>45</c:v>
                </c:pt>
                <c:pt idx="5">
                  <c:v>60</c:v>
                </c:pt>
                <c:pt idx="6">
                  <c:v>90</c:v>
                </c:pt>
              </c:numCache>
            </c:numRef>
          </c:xVal>
          <c:yVal>
            <c:numRef>
              <c:f>H!$F$14:$F$20</c:f>
              <c:numCache>
                <c:formatCode>0.00</c:formatCode>
                <c:ptCount val="7"/>
                <c:pt idx="0">
                  <c:v>9.6120748531621363</c:v>
                </c:pt>
                <c:pt idx="1">
                  <c:v>8.4296316532349866</c:v>
                </c:pt>
                <c:pt idx="2">
                  <c:v>6.6766835131812599</c:v>
                </c:pt>
                <c:pt idx="3">
                  <c:v>4.5836179028365889</c:v>
                </c:pt>
                <c:pt idx="4">
                  <c:v>2.4431999271502072</c:v>
                </c:pt>
                <c:pt idx="5">
                  <c:v>1.6983107954286756</c:v>
                </c:pt>
                <c:pt idx="6">
                  <c:v>0.30596912990028685</c:v>
                </c:pt>
              </c:numCache>
            </c:numRef>
          </c:yVal>
          <c:smooth val="0"/>
          <c:extLst>
            <c:ext xmlns:c16="http://schemas.microsoft.com/office/drawing/2014/chart" uri="{C3380CC4-5D6E-409C-BE32-E72D297353CC}">
              <c16:uniqueId val="{00000000-D0D1-4C40-8C6C-281F2644FA4F}"/>
            </c:ext>
          </c:extLst>
        </c:ser>
        <c:dLbls>
          <c:showLegendKey val="0"/>
          <c:showVal val="0"/>
          <c:showCatName val="0"/>
          <c:showSerName val="0"/>
          <c:showPercent val="0"/>
          <c:showBubbleSize val="0"/>
        </c:dLbls>
        <c:axId val="239653648"/>
        <c:axId val="239659888"/>
      </c:scatterChart>
      <c:valAx>
        <c:axId val="2396536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layout>
            <c:manualLayout>
              <c:xMode val="edge"/>
              <c:yMode val="edge"/>
              <c:x val="0.46939457567804027"/>
              <c:y val="0.8879396325459317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59888"/>
        <c:crosses val="autoZero"/>
        <c:crossBetween val="midCat"/>
      </c:valAx>
      <c:valAx>
        <c:axId val="239659888"/>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layout>
            <c:manualLayout>
              <c:xMode val="edge"/>
              <c:yMode val="edge"/>
              <c:x val="2.2222222222222223E-2"/>
              <c:y val="0.2977004957713619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536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OA 25mA + Fibra MOF-Fe </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S!$B$15:$B$25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S!$G$15:$G$25</c:f>
              <c:numCache>
                <c:formatCode>0.00</c:formatCode>
                <c:ptCount val="11"/>
                <c:pt idx="0">
                  <c:v>0</c:v>
                </c:pt>
                <c:pt idx="1">
                  <c:v>7.6691491047377491</c:v>
                </c:pt>
                <c:pt idx="2">
                  <c:v>16.883219774996046</c:v>
                </c:pt>
                <c:pt idx="3">
                  <c:v>32.778085881793686</c:v>
                </c:pt>
                <c:pt idx="4">
                  <c:v>61.115512597052756</c:v>
                </c:pt>
                <c:pt idx="5">
                  <c:v>75.493186499762317</c:v>
                </c:pt>
                <c:pt idx="6">
                  <c:v>81.296545713832998</c:v>
                </c:pt>
                <c:pt idx="7">
                  <c:v>85.014260814450964</c:v>
                </c:pt>
                <c:pt idx="8">
                  <c:v>90.409602281730301</c:v>
                </c:pt>
                <c:pt idx="9">
                  <c:v>89.738155601331002</c:v>
                </c:pt>
                <c:pt idx="10">
                  <c:v>93.687608936777053</c:v>
                </c:pt>
              </c:numCache>
            </c:numRef>
          </c:yVal>
          <c:smooth val="0"/>
          <c:extLst>
            <c:ext xmlns:c16="http://schemas.microsoft.com/office/drawing/2014/chart" uri="{C3380CC4-5D6E-409C-BE32-E72D297353CC}">
              <c16:uniqueId val="{00000000-D253-4A24-8566-ECC54CA06711}"/>
            </c:ext>
          </c:extLst>
        </c:ser>
        <c:dLbls>
          <c:showLegendKey val="0"/>
          <c:showVal val="0"/>
          <c:showCatName val="0"/>
          <c:showSerName val="0"/>
          <c:showPercent val="0"/>
          <c:showBubbleSize val="0"/>
        </c:dLbls>
        <c:axId val="1204745904"/>
        <c:axId val="1204746384"/>
      </c:scatterChart>
      <c:valAx>
        <c:axId val="120474590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53FE-4714-9B74-18AE3B41E6EF}"/>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53FE-4714-9B74-18AE3B41E6EF}"/>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53FE-4714-9B74-18AE3B41E6EF}"/>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53FE-4714-9B74-18AE3B41E6EF}"/>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E99A-4FDC-9A0F-94A45724D923}"/>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E99A-4FDC-9A0F-94A45724D923}"/>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E99A-4FDC-9A0F-94A45724D923}"/>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E99A-4FDC-9A0F-94A45724D923}"/>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3DB1-4EED-9D58-D39FD2D55800}"/>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3DB1-4EED-9D58-D39FD2D55800}"/>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25 ppm</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AA!$B$15:$B$25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AA!$F$15:$F$25</c:f>
              <c:numCache>
                <c:formatCode>0.00</c:formatCode>
                <c:ptCount val="11"/>
                <c:pt idx="0">
                  <c:v>24.179987593644128</c:v>
                </c:pt>
                <c:pt idx="1">
                  <c:v>21.735935486949469</c:v>
                </c:pt>
                <c:pt idx="2">
                  <c:v>18.941642410650381</c:v>
                </c:pt>
                <c:pt idx="3">
                  <c:v>13.572076155938351</c:v>
                </c:pt>
                <c:pt idx="4">
                  <c:v>7.6423152168726434</c:v>
                </c:pt>
                <c:pt idx="5">
                  <c:v>3.212291835663502</c:v>
                </c:pt>
                <c:pt idx="6">
                  <c:v>1.2850121677721049</c:v>
                </c:pt>
                <c:pt idx="7">
                  <c:v>0.7362695042229328</c:v>
                </c:pt>
                <c:pt idx="8">
                  <c:v>0.28582335257909053</c:v>
                </c:pt>
                <c:pt idx="9">
                  <c:v>9.3047669036598751E-2</c:v>
                </c:pt>
                <c:pt idx="10">
                  <c:v>5.2488428687312121E-3</c:v>
                </c:pt>
              </c:numCache>
            </c:numRef>
          </c:yVal>
          <c:smooth val="0"/>
          <c:extLst>
            <c:ext xmlns:c16="http://schemas.microsoft.com/office/drawing/2014/chart" uri="{C3380CC4-5D6E-409C-BE32-E72D297353CC}">
              <c16:uniqueId val="{00000000-6991-4662-A788-0577677F0B40}"/>
            </c:ext>
          </c:extLst>
        </c:ser>
        <c:dLbls>
          <c:showLegendKey val="0"/>
          <c:showVal val="0"/>
          <c:showCatName val="0"/>
          <c:showSerName val="0"/>
          <c:showPercent val="0"/>
          <c:showBubbleSize val="0"/>
        </c:dLbls>
        <c:axId val="1204696464"/>
        <c:axId val="1204697424"/>
      </c:scatterChart>
      <c:valAx>
        <c:axId val="120469646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2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25 ppm </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AA!$B$15:$B$25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AA!$G$15:$G$25</c:f>
              <c:numCache>
                <c:formatCode>0.00</c:formatCode>
                <c:ptCount val="11"/>
                <c:pt idx="0">
                  <c:v>0</c:v>
                </c:pt>
                <c:pt idx="1">
                  <c:v>10.10774756285274</c:v>
                </c:pt>
                <c:pt idx="2">
                  <c:v>21.663969688597696</c:v>
                </c:pt>
                <c:pt idx="3">
                  <c:v>43.87062398863322</c:v>
                </c:pt>
                <c:pt idx="4">
                  <c:v>68.394048229861468</c:v>
                </c:pt>
                <c:pt idx="5">
                  <c:v>86.715080712002205</c:v>
                </c:pt>
                <c:pt idx="6">
                  <c:v>94.685637605083471</c:v>
                </c:pt>
                <c:pt idx="7">
                  <c:v>96.95504598018708</c:v>
                </c:pt>
                <c:pt idx="8">
                  <c:v>98.817934246359087</c:v>
                </c:pt>
                <c:pt idx="9">
                  <c:v>99.615187275525912</c:v>
                </c:pt>
                <c:pt idx="10">
                  <c:v>99.978292615542486</c:v>
                </c:pt>
              </c:numCache>
            </c:numRef>
          </c:yVal>
          <c:smooth val="0"/>
          <c:extLst>
            <c:ext xmlns:c16="http://schemas.microsoft.com/office/drawing/2014/chart" uri="{C3380CC4-5D6E-409C-BE32-E72D297353CC}">
              <c16:uniqueId val="{00000000-3B53-498F-BD89-D9C1139DA0F2}"/>
            </c:ext>
          </c:extLst>
        </c:ser>
        <c:dLbls>
          <c:showLegendKey val="0"/>
          <c:showVal val="0"/>
          <c:showCatName val="0"/>
          <c:showSerName val="0"/>
          <c:showPercent val="0"/>
          <c:showBubbleSize val="0"/>
        </c:dLbls>
        <c:axId val="1204745904"/>
        <c:axId val="1204746384"/>
      </c:scatterChart>
      <c:valAx>
        <c:axId val="120474590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intercept val="0"/>
            <c:dispRSqr val="1"/>
            <c:dispEq val="1"/>
            <c:trendlineLbl>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trendlineLbl>
          </c:trendline>
          <c:xVal>
            <c:numRef>
              <c:f>AA!$B$15:$B$22</c:f>
              <c:numCache>
                <c:formatCode>General</c:formatCode>
                <c:ptCount val="8"/>
                <c:pt idx="0">
                  <c:v>0</c:v>
                </c:pt>
                <c:pt idx="1">
                  <c:v>5</c:v>
                </c:pt>
                <c:pt idx="2">
                  <c:v>15</c:v>
                </c:pt>
                <c:pt idx="3">
                  <c:v>30</c:v>
                </c:pt>
                <c:pt idx="4">
                  <c:v>60</c:v>
                </c:pt>
                <c:pt idx="5">
                  <c:v>90</c:v>
                </c:pt>
                <c:pt idx="6">
                  <c:v>120</c:v>
                </c:pt>
                <c:pt idx="7">
                  <c:v>150</c:v>
                </c:pt>
              </c:numCache>
            </c:numRef>
          </c:xVal>
          <c:yVal>
            <c:numRef>
              <c:f>AA!$L$15:$L$22</c:f>
              <c:numCache>
                <c:formatCode>General</c:formatCode>
                <c:ptCount val="8"/>
                <c:pt idx="0">
                  <c:v>0</c:v>
                </c:pt>
                <c:pt idx="1">
                  <c:v>0.10655842801122403</c:v>
                </c:pt>
                <c:pt idx="2">
                  <c:v>0.24416253159746051</c:v>
                </c:pt>
                <c:pt idx="3">
                  <c:v>0.57751087394297396</c:v>
                </c:pt>
                <c:pt idx="4">
                  <c:v>1.1518247359740412</c:v>
                </c:pt>
                <c:pt idx="5">
                  <c:v>2.018540682218346</c:v>
                </c:pt>
                <c:pt idx="6">
                  <c:v>2.9347571447174436</c:v>
                </c:pt>
                <c:pt idx="7">
                  <c:v>3.4916843851658816</c:v>
                </c:pt>
              </c:numCache>
            </c:numRef>
          </c:yVal>
          <c:smooth val="0"/>
          <c:extLst>
            <c:ext xmlns:c16="http://schemas.microsoft.com/office/drawing/2014/chart" uri="{C3380CC4-5D6E-409C-BE32-E72D297353CC}">
              <c16:uniqueId val="{00000000-6118-47F5-926D-5A95807BD3B2}"/>
            </c:ext>
          </c:extLst>
        </c:ser>
        <c:dLbls>
          <c:showLegendKey val="0"/>
          <c:showVal val="0"/>
          <c:showCatName val="0"/>
          <c:showSerName val="0"/>
          <c:showPercent val="0"/>
          <c:showBubbleSize val="0"/>
        </c:dLbls>
        <c:axId val="2139857087"/>
        <c:axId val="2139868127"/>
      </c:scatterChart>
      <c:valAx>
        <c:axId val="213985708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139868127"/>
        <c:crosses val="autoZero"/>
        <c:crossBetween val="midCat"/>
      </c:valAx>
      <c:valAx>
        <c:axId val="21398681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13985708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6138-4FBE-89A7-F0D6BB5F18C0}"/>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6138-4FBE-89A7-F0D6BB5F18C0}"/>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6138-4FBE-89A7-F0D6BB5F18C0}"/>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6138-4FBE-89A7-F0D6BB5F18C0}"/>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B7D6-43B8-8976-B3DDB543F38F}"/>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B7D6-43B8-8976-B3DDB543F38F}"/>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B7D6-43B8-8976-B3DDB543F38F}"/>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B7D6-43B8-8976-B3DDB543F38F}"/>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6E44-4A32-A006-B61AB0350C68}"/>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6E44-4A32-A006-B61AB0350C68}"/>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FOTO</a:t>
            </a:r>
            <a:r>
              <a:rPr lang="es-ES" baseline="0"/>
              <a:t> + </a:t>
            </a:r>
            <a:r>
              <a:rPr lang="es-ES"/>
              <a:t>OA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H!$B$14:$B$20</c:f>
              <c:numCache>
                <c:formatCode>General</c:formatCode>
                <c:ptCount val="7"/>
                <c:pt idx="0">
                  <c:v>0</c:v>
                </c:pt>
                <c:pt idx="1">
                  <c:v>5</c:v>
                </c:pt>
                <c:pt idx="2">
                  <c:v>15</c:v>
                </c:pt>
                <c:pt idx="3">
                  <c:v>30</c:v>
                </c:pt>
                <c:pt idx="4">
                  <c:v>45</c:v>
                </c:pt>
                <c:pt idx="5">
                  <c:v>60</c:v>
                </c:pt>
                <c:pt idx="6">
                  <c:v>90</c:v>
                </c:pt>
              </c:numCache>
            </c:numRef>
          </c:xVal>
          <c:yVal>
            <c:numRef>
              <c:f>H!$G$14:$G$20</c:f>
              <c:numCache>
                <c:formatCode>0.00</c:formatCode>
                <c:ptCount val="7"/>
                <c:pt idx="0">
                  <c:v>0</c:v>
                </c:pt>
                <c:pt idx="1">
                  <c:v>12.301643692861536</c:v>
                </c:pt>
                <c:pt idx="2">
                  <c:v>30.538581782009373</c:v>
                </c:pt>
                <c:pt idx="3">
                  <c:v>52.313959547155505</c:v>
                </c:pt>
                <c:pt idx="4">
                  <c:v>74.581971484060432</c:v>
                </c:pt>
                <c:pt idx="5">
                  <c:v>82.331485955189237</c:v>
                </c:pt>
                <c:pt idx="6">
                  <c:v>96.816825351712382</c:v>
                </c:pt>
              </c:numCache>
            </c:numRef>
          </c:yVal>
          <c:smooth val="0"/>
          <c:extLst>
            <c:ext xmlns:c16="http://schemas.microsoft.com/office/drawing/2014/chart" uri="{C3380CC4-5D6E-409C-BE32-E72D297353CC}">
              <c16:uniqueId val="{00000000-CBF2-493A-B5CE-AE9B19D208C6}"/>
            </c:ext>
          </c:extLst>
        </c:ser>
        <c:dLbls>
          <c:showLegendKey val="0"/>
          <c:showVal val="0"/>
          <c:showCatName val="0"/>
          <c:showSerName val="0"/>
          <c:showPercent val="0"/>
          <c:showBubbleSize val="0"/>
        </c:dLbls>
        <c:axId val="239712688"/>
        <c:axId val="239670448"/>
      </c:scatterChart>
      <c:valAx>
        <c:axId val="2397126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670448"/>
        <c:crosses val="autoZero"/>
        <c:crossBetween val="midCat"/>
      </c:valAx>
      <c:valAx>
        <c:axId val="23967044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Degradaciñon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397126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en dos etapas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AB!$B$15:$B$25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AB!$F$15:$F$25</c:f>
              <c:numCache>
                <c:formatCode>0.00</c:formatCode>
                <c:ptCount val="11"/>
                <c:pt idx="0">
                  <c:v>24.149926039032305</c:v>
                </c:pt>
                <c:pt idx="1">
                  <c:v>21.863339218399577</c:v>
                </c:pt>
                <c:pt idx="2">
                  <c:v>19.685069427876126</c:v>
                </c:pt>
                <c:pt idx="3">
                  <c:v>16.303383117812665</c:v>
                </c:pt>
                <c:pt idx="4">
                  <c:v>12.77568354249177</c:v>
                </c:pt>
                <c:pt idx="5">
                  <c:v>9.5013599274705349</c:v>
                </c:pt>
                <c:pt idx="6">
                  <c:v>7.3249988070811662</c:v>
                </c:pt>
                <c:pt idx="7">
                  <c:v>3.3783461373288164</c:v>
                </c:pt>
                <c:pt idx="8">
                  <c:v>2.8138569451734505</c:v>
                </c:pt>
                <c:pt idx="9">
                  <c:v>2.3471870973898934</c:v>
                </c:pt>
                <c:pt idx="10">
                  <c:v>1.934437180894212</c:v>
                </c:pt>
              </c:numCache>
            </c:numRef>
          </c:yVal>
          <c:smooth val="0"/>
          <c:extLst>
            <c:ext xmlns:c16="http://schemas.microsoft.com/office/drawing/2014/chart" uri="{C3380CC4-5D6E-409C-BE32-E72D297353CC}">
              <c16:uniqueId val="{00000000-8534-41B1-9086-A77730CB2DEA}"/>
            </c:ext>
          </c:extLst>
        </c:ser>
        <c:dLbls>
          <c:showLegendKey val="0"/>
          <c:showVal val="0"/>
          <c:showCatName val="0"/>
          <c:showSerName val="0"/>
          <c:showPercent val="0"/>
          <c:showBubbleSize val="0"/>
        </c:dLbls>
        <c:axId val="1204696464"/>
        <c:axId val="1204697424"/>
      </c:scatterChart>
      <c:valAx>
        <c:axId val="120469646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7424"/>
        <c:crosses val="autoZero"/>
        <c:crossBetween val="midCat"/>
      </c:valAx>
      <c:valAx>
        <c:axId val="1204697424"/>
        <c:scaling>
          <c:orientation val="minMax"/>
          <c:max val="2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6964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baseline="0"/>
              <a:t>TODO en dos etapas </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AB!$B$15:$B$25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AB!$G$15:$G$25</c:f>
              <c:numCache>
                <c:formatCode>0.00</c:formatCode>
                <c:ptCount val="11"/>
                <c:pt idx="0">
                  <c:v>0</c:v>
                </c:pt>
                <c:pt idx="1">
                  <c:v>9.4682974057023319</c:v>
                </c:pt>
                <c:pt idx="2">
                  <c:v>18.488075714765571</c:v>
                </c:pt>
                <c:pt idx="3">
                  <c:v>32.490960463140425</c:v>
                </c:pt>
                <c:pt idx="4">
                  <c:v>47.098456857204958</c:v>
                </c:pt>
                <c:pt idx="5">
                  <c:v>60.656774219043299</c:v>
                </c:pt>
                <c:pt idx="6">
                  <c:v>69.668649107901444</c:v>
                </c:pt>
                <c:pt idx="7">
                  <c:v>86.010946236984054</c:v>
                </c:pt>
                <c:pt idx="8">
                  <c:v>88.348382762640526</c:v>
                </c:pt>
                <c:pt idx="9">
                  <c:v>90.280769002785959</c:v>
                </c:pt>
                <c:pt idx="10">
                  <c:v>91.989883622137484</c:v>
                </c:pt>
              </c:numCache>
            </c:numRef>
          </c:yVal>
          <c:smooth val="0"/>
          <c:extLst>
            <c:ext xmlns:c16="http://schemas.microsoft.com/office/drawing/2014/chart" uri="{C3380CC4-5D6E-409C-BE32-E72D297353CC}">
              <c16:uniqueId val="{00000000-4DF0-49FB-8BF8-796E85E6ACB3}"/>
            </c:ext>
          </c:extLst>
        </c:ser>
        <c:dLbls>
          <c:showLegendKey val="0"/>
          <c:showVal val="0"/>
          <c:showCatName val="0"/>
          <c:showSerName val="0"/>
          <c:showPercent val="0"/>
          <c:showBubbleSize val="0"/>
        </c:dLbls>
        <c:axId val="1204745904"/>
        <c:axId val="1204746384"/>
      </c:scatterChart>
      <c:valAx>
        <c:axId val="1204745904"/>
        <c:scaling>
          <c:orientation val="minMax"/>
          <c:max val="25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6384"/>
        <c:crosses val="autoZero"/>
        <c:crossBetween val="midCat"/>
      </c:valAx>
      <c:valAx>
        <c:axId val="12047463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2047459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320F-45F3-9130-EDA91D10955D}"/>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320F-45F3-9130-EDA91D10955D}"/>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320F-45F3-9130-EDA91D10955D}"/>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320F-45F3-9130-EDA91D10955D}"/>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B5B9-44C4-AE85-011734DFB480}"/>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B5B9-44C4-AE85-011734DFB480}"/>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B5B9-44C4-AE85-011734DFB480}"/>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B5B9-44C4-AE85-011734DFB480}"/>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D06D-4D46-926E-14DB58DB2681}"/>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D06D-4D46-926E-14DB58DB2681}"/>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FOTO</a:t>
            </a:r>
            <a:r>
              <a:rPr lang="es-ES" baseline="0"/>
              <a:t> + fibra g-C3N4</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AC!$B$15:$B$25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AC!$F$15:$F$25</c:f>
              <c:numCache>
                <c:formatCode>0.00</c:formatCode>
                <c:ptCount val="11"/>
                <c:pt idx="0">
                  <c:v>24.151357541632866</c:v>
                </c:pt>
                <c:pt idx="1">
                  <c:v>23.633630767762561</c:v>
                </c:pt>
                <c:pt idx="2">
                  <c:v>23.03383117812664</c:v>
                </c:pt>
                <c:pt idx="3">
                  <c:v>21.756453690890872</c:v>
                </c:pt>
                <c:pt idx="4">
                  <c:v>19.277568354249176</c:v>
                </c:pt>
                <c:pt idx="5">
                  <c:v>16.816338216347759</c:v>
                </c:pt>
                <c:pt idx="6">
                  <c:v>14.418094192871116</c:v>
                </c:pt>
                <c:pt idx="7">
                  <c:v>12.317602710311592</c:v>
                </c:pt>
                <c:pt idx="8">
                  <c:v>10.671374719664074</c:v>
                </c:pt>
                <c:pt idx="9">
                  <c:v>9.0704776447010556</c:v>
                </c:pt>
                <c:pt idx="10">
                  <c:v>7.5635825738416758</c:v>
                </c:pt>
              </c:numCache>
            </c:numRef>
          </c:yVal>
          <c:smooth val="0"/>
          <c:extLst>
            <c:ext xmlns:c16="http://schemas.microsoft.com/office/drawing/2014/chart" uri="{C3380CC4-5D6E-409C-BE32-E72D297353CC}">
              <c16:uniqueId val="{00000000-AF28-4F44-AA48-C35A6D531D93}"/>
            </c:ext>
          </c:extLst>
        </c:ser>
        <c:dLbls>
          <c:showLegendKey val="0"/>
          <c:showVal val="0"/>
          <c:showCatName val="0"/>
          <c:showSerName val="0"/>
          <c:showPercent val="0"/>
          <c:showBubbleSize val="0"/>
        </c:dLbls>
        <c:axId val="2034793423"/>
        <c:axId val="2098096143"/>
      </c:scatterChart>
      <c:valAx>
        <c:axId val="203479342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98096143"/>
        <c:crosses val="autoZero"/>
        <c:crossBetween val="midCat"/>
      </c:valAx>
      <c:valAx>
        <c:axId val="209809614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347934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FOTO</a:t>
            </a:r>
            <a:r>
              <a:rPr lang="es-ES" baseline="0"/>
              <a:t> + fibra g-C3N4</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AC!$B$15:$B$25</c:f>
              <c:numCache>
                <c:formatCode>General</c:formatCode>
                <c:ptCount val="11"/>
                <c:pt idx="0">
                  <c:v>0</c:v>
                </c:pt>
                <c:pt idx="1">
                  <c:v>5</c:v>
                </c:pt>
                <c:pt idx="2">
                  <c:v>15</c:v>
                </c:pt>
                <c:pt idx="3">
                  <c:v>30</c:v>
                </c:pt>
                <c:pt idx="4">
                  <c:v>60</c:v>
                </c:pt>
                <c:pt idx="5">
                  <c:v>90</c:v>
                </c:pt>
                <c:pt idx="6">
                  <c:v>120</c:v>
                </c:pt>
                <c:pt idx="7">
                  <c:v>150</c:v>
                </c:pt>
                <c:pt idx="8">
                  <c:v>180</c:v>
                </c:pt>
                <c:pt idx="9">
                  <c:v>210</c:v>
                </c:pt>
                <c:pt idx="10">
                  <c:v>240</c:v>
                </c:pt>
              </c:numCache>
            </c:numRef>
          </c:xVal>
          <c:yVal>
            <c:numRef>
              <c:f>AC!$G$15:$G$25</c:f>
              <c:numCache>
                <c:formatCode>0.00</c:formatCode>
                <c:ptCount val="11"/>
                <c:pt idx="0">
                  <c:v>0</c:v>
                </c:pt>
                <c:pt idx="1">
                  <c:v>2.1436756628600726</c:v>
                </c:pt>
                <c:pt idx="2">
                  <c:v>4.6271782510767725</c:v>
                </c:pt>
                <c:pt idx="3">
                  <c:v>9.9162287114237095</c:v>
                </c:pt>
                <c:pt idx="4">
                  <c:v>20.180187299956533</c:v>
                </c:pt>
                <c:pt idx="5">
                  <c:v>30.37104358477891</c:v>
                </c:pt>
                <c:pt idx="6">
                  <c:v>40.301102461769467</c:v>
                </c:pt>
                <c:pt idx="7">
                  <c:v>48.99830086537321</c:v>
                </c:pt>
                <c:pt idx="8">
                  <c:v>55.814596751886825</c:v>
                </c:pt>
                <c:pt idx="9">
                  <c:v>62.443197534279051</c:v>
                </c:pt>
                <c:pt idx="10">
                  <c:v>68.682577942861656</c:v>
                </c:pt>
              </c:numCache>
            </c:numRef>
          </c:yVal>
          <c:smooth val="0"/>
          <c:extLst>
            <c:ext xmlns:c16="http://schemas.microsoft.com/office/drawing/2014/chart" uri="{C3380CC4-5D6E-409C-BE32-E72D297353CC}">
              <c16:uniqueId val="{00000000-725A-48B8-96A9-16F1AD2A5F3C}"/>
            </c:ext>
          </c:extLst>
        </c:ser>
        <c:dLbls>
          <c:showLegendKey val="0"/>
          <c:showVal val="0"/>
          <c:showCatName val="0"/>
          <c:showSerName val="0"/>
          <c:showPercent val="0"/>
          <c:showBubbleSize val="0"/>
        </c:dLbls>
        <c:axId val="1082952623"/>
        <c:axId val="2098104303"/>
      </c:scatterChart>
      <c:valAx>
        <c:axId val="108295262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2098104303"/>
        <c:crosses val="autoZero"/>
        <c:crossBetween val="midCat"/>
      </c:valAx>
      <c:valAx>
        <c:axId val="209810430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829526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6026-4578-B0BD-9F1C73434852}"/>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L!$G$39:$G$45</c:f>
              <c:numCache>
                <c:formatCode>0.00</c:formatCode>
                <c:ptCount val="7"/>
                <c:pt idx="0">
                  <c:v>0</c:v>
                </c:pt>
                <c:pt idx="1">
                  <c:v>18.680539134547168</c:v>
                </c:pt>
                <c:pt idx="2">
                  <c:v>39.829746985102865</c:v>
                </c:pt>
                <c:pt idx="3">
                  <c:v>66.275715299125082</c:v>
                </c:pt>
                <c:pt idx="4">
                  <c:v>91.889335540316864</c:v>
                </c:pt>
                <c:pt idx="5">
                  <c:v>97.625916292267675</c:v>
                </c:pt>
                <c:pt idx="6">
                  <c:v>99.371009694963348</c:v>
                </c:pt>
              </c:numCache>
            </c:numRef>
          </c:yVal>
          <c:smooth val="0"/>
          <c:extLst>
            <c:ext xmlns:c16="http://schemas.microsoft.com/office/drawing/2014/chart" uri="{C3380CC4-5D6E-409C-BE32-E72D297353CC}">
              <c16:uniqueId val="{00000001-6026-4578-B0BD-9F1C73434852}"/>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L!$G$62:$G$68</c:f>
              <c:numCache>
                <c:formatCode>0.00</c:formatCode>
                <c:ptCount val="7"/>
                <c:pt idx="0">
                  <c:v>0</c:v>
                </c:pt>
                <c:pt idx="1">
                  <c:v>14.282983705261151</c:v>
                </c:pt>
                <c:pt idx="2">
                  <c:v>34.33841448845989</c:v>
                </c:pt>
                <c:pt idx="3">
                  <c:v>57.022028957805702</c:v>
                </c:pt>
                <c:pt idx="4">
                  <c:v>82.013666555167973</c:v>
                </c:pt>
                <c:pt idx="5">
                  <c:v>95.278826396521239</c:v>
                </c:pt>
                <c:pt idx="6">
                  <c:v>99.431356620633636</c:v>
                </c:pt>
              </c:numCache>
            </c:numRef>
          </c:yVal>
          <c:smooth val="0"/>
          <c:extLst>
            <c:ext xmlns:c16="http://schemas.microsoft.com/office/drawing/2014/chart" uri="{C3380CC4-5D6E-409C-BE32-E72D297353CC}">
              <c16:uniqueId val="{00000002-6026-4578-B0BD-9F1C73434852}"/>
            </c:ext>
          </c:extLst>
        </c:ser>
        <c:ser>
          <c:idx val="3"/>
          <c:order val="3"/>
          <c:tx>
            <c:v>Control electro</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B!$B$14:$B$20</c:f>
              <c:numCache>
                <c:formatCode>General</c:formatCode>
                <c:ptCount val="7"/>
                <c:pt idx="0">
                  <c:v>0</c:v>
                </c:pt>
                <c:pt idx="1">
                  <c:v>5</c:v>
                </c:pt>
                <c:pt idx="2">
                  <c:v>15</c:v>
                </c:pt>
                <c:pt idx="3">
                  <c:v>30</c:v>
                </c:pt>
                <c:pt idx="4">
                  <c:v>45</c:v>
                </c:pt>
                <c:pt idx="5">
                  <c:v>60</c:v>
                </c:pt>
                <c:pt idx="6">
                  <c:v>90</c:v>
                </c:pt>
              </c:numCache>
            </c:numRef>
          </c:xVal>
          <c:yVal>
            <c:numRef>
              <c:f>B!$G$14:$G$20</c:f>
              <c:numCache>
                <c:formatCode>0.00</c:formatCode>
                <c:ptCount val="7"/>
                <c:pt idx="0">
                  <c:v>0</c:v>
                </c:pt>
                <c:pt idx="1">
                  <c:v>10.498351570492217</c:v>
                </c:pt>
                <c:pt idx="2">
                  <c:v>20.775437435238604</c:v>
                </c:pt>
                <c:pt idx="3">
                  <c:v>38.622635105075325</c:v>
                </c:pt>
                <c:pt idx="4">
                  <c:v>54.280714622320623</c:v>
                </c:pt>
                <c:pt idx="5">
                  <c:v>65.150980889704698</c:v>
                </c:pt>
                <c:pt idx="6">
                  <c:v>82.452075966636897</c:v>
                </c:pt>
              </c:numCache>
            </c:numRef>
          </c:yVal>
          <c:smooth val="0"/>
          <c:extLst>
            <c:ext xmlns:c16="http://schemas.microsoft.com/office/drawing/2014/chart" uri="{C3380CC4-5D6E-409C-BE32-E72D297353CC}">
              <c16:uniqueId val="{00000003-6026-4578-B0BD-9F1C73434852}"/>
            </c:ext>
          </c:extLst>
        </c:ser>
        <c:dLbls>
          <c:showLegendKey val="0"/>
          <c:showVal val="0"/>
          <c:showCatName val="0"/>
          <c:showSerName val="0"/>
          <c:showPercent val="0"/>
          <c:showBubbleSize val="0"/>
        </c:dLbls>
        <c:axId val="1170103968"/>
        <c:axId val="1170088608"/>
      </c:scatterChart>
      <c:valAx>
        <c:axId val="11701039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088608"/>
        <c:crosses val="autoZero"/>
        <c:crossBetween val="midCat"/>
      </c:valAx>
      <c:valAx>
        <c:axId val="117008860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70103968"/>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 reusos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strRef>
              <c:f>L!$B$4</c:f>
              <c:strCache>
                <c:ptCount val="1"/>
                <c:pt idx="0">
                  <c:v>PRIMER USO</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4"/>
            <c:marker>
              <c:symbol val="circle"/>
              <c:size val="5"/>
              <c:spPr>
                <a:solidFill>
                  <a:schemeClr val="accent5"/>
                </a:solidFill>
                <a:ln w="9525">
                  <a:solidFill>
                    <a:schemeClr val="accent5"/>
                  </a:solidFill>
                </a:ln>
                <a:effectLst/>
              </c:spPr>
            </c:marker>
            <c:bubble3D val="0"/>
            <c:spPr>
              <a:ln w="19050" cap="rnd">
                <a:solidFill>
                  <a:schemeClr val="accent5"/>
                </a:solidFill>
                <a:round/>
              </a:ln>
              <a:effectLst/>
            </c:spPr>
            <c:extLst>
              <c:ext xmlns:c16="http://schemas.microsoft.com/office/drawing/2014/chart" uri="{C3380CC4-5D6E-409C-BE32-E72D297353CC}">
                <c16:uniqueId val="{00000001-50C7-402D-A557-2896943D2B0D}"/>
              </c:ext>
            </c:extLst>
          </c:dPt>
          <c:xVal>
            <c:numRef>
              <c:f>L!$B$15:$B$21</c:f>
              <c:numCache>
                <c:formatCode>General</c:formatCode>
                <c:ptCount val="7"/>
                <c:pt idx="0">
                  <c:v>0</c:v>
                </c:pt>
                <c:pt idx="1">
                  <c:v>5</c:v>
                </c:pt>
                <c:pt idx="2">
                  <c:v>15</c:v>
                </c:pt>
                <c:pt idx="3">
                  <c:v>30</c:v>
                </c:pt>
                <c:pt idx="4">
                  <c:v>45</c:v>
                </c:pt>
                <c:pt idx="5">
                  <c:v>60</c:v>
                </c:pt>
                <c:pt idx="6">
                  <c:v>90</c:v>
                </c:pt>
              </c:numCache>
            </c:numRef>
          </c:xVal>
          <c:yVal>
            <c:numRef>
              <c:f>L!$F$15:$F$21</c:f>
              <c:numCache>
                <c:formatCode>0.00</c:formatCode>
                <c:ptCount val="7"/>
                <c:pt idx="0">
                  <c:v>9.3639302463233616</c:v>
                </c:pt>
                <c:pt idx="1">
                  <c:v>8.0030050539543787</c:v>
                </c:pt>
                <c:pt idx="2">
                  <c:v>5.505167782179119</c:v>
                </c:pt>
                <c:pt idx="3">
                  <c:v>3.6201793926148524</c:v>
                </c:pt>
                <c:pt idx="4">
                  <c:v>1.361380503574193</c:v>
                </c:pt>
                <c:pt idx="5">
                  <c:v>0.7717524928288485</c:v>
                </c:pt>
                <c:pt idx="6">
                  <c:v>0.13659336156262805</c:v>
                </c:pt>
              </c:numCache>
            </c:numRef>
          </c:yVal>
          <c:smooth val="0"/>
          <c:extLst>
            <c:ext xmlns:c16="http://schemas.microsoft.com/office/drawing/2014/chart" uri="{C3380CC4-5D6E-409C-BE32-E72D297353CC}">
              <c16:uniqueId val="{00000002-50C7-402D-A557-2896943D2B0D}"/>
            </c:ext>
          </c:extLst>
        </c:ser>
        <c:ser>
          <c:idx val="1"/>
          <c:order val="1"/>
          <c:tx>
            <c:strRef>
              <c:f>L!$B$28</c:f>
              <c:strCache>
                <c:ptCount val="1"/>
                <c:pt idx="0">
                  <c:v>SEGUNDO USO</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L!$B$39:$B$45</c:f>
              <c:numCache>
                <c:formatCode>General</c:formatCode>
                <c:ptCount val="7"/>
                <c:pt idx="0">
                  <c:v>0</c:v>
                </c:pt>
                <c:pt idx="1">
                  <c:v>5</c:v>
                </c:pt>
                <c:pt idx="2">
                  <c:v>15</c:v>
                </c:pt>
                <c:pt idx="3">
                  <c:v>30</c:v>
                </c:pt>
                <c:pt idx="4">
                  <c:v>45</c:v>
                </c:pt>
                <c:pt idx="5">
                  <c:v>60</c:v>
                </c:pt>
                <c:pt idx="6">
                  <c:v>90</c:v>
                </c:pt>
              </c:numCache>
            </c:numRef>
          </c:xVal>
          <c:yVal>
            <c:numRef>
              <c:f>L!$F$39:$F$45</c:f>
              <c:numCache>
                <c:formatCode>0.00</c:formatCode>
                <c:ptCount val="7"/>
                <c:pt idx="0">
                  <c:v>9.627555434139234</c:v>
                </c:pt>
                <c:pt idx="1">
                  <c:v>7.8290761735646317</c:v>
                </c:pt>
                <c:pt idx="2">
                  <c:v>5.7929244638710555</c:v>
                </c:pt>
                <c:pt idx="3">
                  <c:v>3.2468242043436693</c:v>
                </c:pt>
                <c:pt idx="4">
                  <c:v>0.78085871693302378</c:v>
                </c:pt>
                <c:pt idx="5">
                  <c:v>0.22856622501479762</c:v>
                </c:pt>
                <c:pt idx="6">
                  <c:v>6.0556390292765112E-2</c:v>
                </c:pt>
              </c:numCache>
            </c:numRef>
          </c:yVal>
          <c:smooth val="0"/>
          <c:extLst>
            <c:ext xmlns:c16="http://schemas.microsoft.com/office/drawing/2014/chart" uri="{C3380CC4-5D6E-409C-BE32-E72D297353CC}">
              <c16:uniqueId val="{00000003-50C7-402D-A557-2896943D2B0D}"/>
            </c:ext>
          </c:extLst>
        </c:ser>
        <c:ser>
          <c:idx val="2"/>
          <c:order val="2"/>
          <c:tx>
            <c:strRef>
              <c:f>L!$B$51</c:f>
              <c:strCache>
                <c:ptCount val="1"/>
                <c:pt idx="0">
                  <c:v>TERCER USO</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L!$B$62:$B$68</c:f>
              <c:numCache>
                <c:formatCode>General</c:formatCode>
                <c:ptCount val="7"/>
                <c:pt idx="0">
                  <c:v>0</c:v>
                </c:pt>
                <c:pt idx="1">
                  <c:v>5</c:v>
                </c:pt>
                <c:pt idx="2">
                  <c:v>15</c:v>
                </c:pt>
                <c:pt idx="3">
                  <c:v>30</c:v>
                </c:pt>
                <c:pt idx="4">
                  <c:v>45</c:v>
                </c:pt>
                <c:pt idx="5">
                  <c:v>60</c:v>
                </c:pt>
                <c:pt idx="6">
                  <c:v>90</c:v>
                </c:pt>
              </c:numCache>
            </c:numRef>
          </c:xVal>
          <c:yVal>
            <c:numRef>
              <c:f>L!$F$62:$F$68</c:f>
              <c:numCache>
                <c:formatCode>0.00</c:formatCode>
                <c:ptCount val="7"/>
                <c:pt idx="0">
                  <c:v>9.5282975914037245</c:v>
                </c:pt>
                <c:pt idx="1">
                  <c:v>8.1673723990347398</c:v>
                </c:pt>
                <c:pt idx="2">
                  <c:v>6.2564312707735734</c:v>
                </c:pt>
                <c:pt idx="3">
                  <c:v>4.0950689796475892</c:v>
                </c:pt>
                <c:pt idx="4">
                  <c:v>1.7137913764057733</c:v>
                </c:pt>
                <c:pt idx="5">
                  <c:v>0.44984747074625508</c:v>
                </c:pt>
                <c:pt idx="6">
                  <c:v>5.4182033419842464E-2</c:v>
                </c:pt>
              </c:numCache>
            </c:numRef>
          </c:yVal>
          <c:smooth val="0"/>
          <c:extLst>
            <c:ext xmlns:c16="http://schemas.microsoft.com/office/drawing/2014/chart" uri="{C3380CC4-5D6E-409C-BE32-E72D297353CC}">
              <c16:uniqueId val="{00000004-50C7-402D-A557-2896943D2B0D}"/>
            </c:ext>
          </c:extLst>
        </c:ser>
        <c:dLbls>
          <c:showLegendKey val="0"/>
          <c:showVal val="0"/>
          <c:showCatName val="0"/>
          <c:showSerName val="0"/>
          <c:showPercent val="0"/>
          <c:showBubbleSize val="0"/>
        </c:dLbls>
        <c:axId val="144315200"/>
        <c:axId val="144303200"/>
      </c:scatterChart>
      <c:valAx>
        <c:axId val="144315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03200"/>
        <c:crosses val="autoZero"/>
        <c:crossBetween val="midCat"/>
      </c:valAx>
      <c:valAx>
        <c:axId val="144303200"/>
        <c:scaling>
          <c:orientation val="minMax"/>
          <c:max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Concentración</a:t>
                </a:r>
                <a:r>
                  <a:rPr lang="es-ES" baseline="0"/>
                  <a:t> (mg/L)</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4315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Comparación</a:t>
            </a:r>
            <a:r>
              <a:rPr lang="es-ES" baseline="0"/>
              <a:t> distintas cantidades</a:t>
            </a:r>
            <a:endParaRPr lang="es-E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tx>
            <c:v>Exp Z</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L!$B$15:$B$21</c:f>
              <c:numCache>
                <c:formatCode>General</c:formatCode>
                <c:ptCount val="7"/>
                <c:pt idx="0">
                  <c:v>0</c:v>
                </c:pt>
                <c:pt idx="1">
                  <c:v>5</c:v>
                </c:pt>
                <c:pt idx="2">
                  <c:v>15</c:v>
                </c:pt>
                <c:pt idx="3">
                  <c:v>30</c:v>
                </c:pt>
                <c:pt idx="4">
                  <c:v>45</c:v>
                </c:pt>
                <c:pt idx="5">
                  <c:v>60</c:v>
                </c:pt>
                <c:pt idx="6">
                  <c:v>90</c:v>
                </c:pt>
              </c:numCache>
            </c:numRef>
          </c:xVal>
          <c:yVal>
            <c:numRef>
              <c:f>L!$G$15:$G$21</c:f>
              <c:numCache>
                <c:formatCode>0.00</c:formatCode>
                <c:ptCount val="7"/>
                <c:pt idx="0">
                  <c:v>0</c:v>
                </c:pt>
                <c:pt idx="1">
                  <c:v>14.53369639210346</c:v>
                </c:pt>
                <c:pt idx="2">
                  <c:v>41.208791208791212</c:v>
                </c:pt>
                <c:pt idx="3">
                  <c:v>61.33910337450159</c:v>
                </c:pt>
                <c:pt idx="4">
                  <c:v>85.461441213653615</c:v>
                </c:pt>
                <c:pt idx="5">
                  <c:v>91.758241758241752</c:v>
                </c:pt>
                <c:pt idx="6">
                  <c:v>98.541281727122438</c:v>
                </c:pt>
              </c:numCache>
            </c:numRef>
          </c:yVal>
          <c:smooth val="0"/>
          <c:extLst>
            <c:ext xmlns:c16="http://schemas.microsoft.com/office/drawing/2014/chart" uri="{C3380CC4-5D6E-409C-BE32-E72D297353CC}">
              <c16:uniqueId val="{00000000-AA88-4F86-B66C-A6F68DC692A0}"/>
            </c:ext>
          </c:extLst>
        </c:ser>
        <c:ser>
          <c:idx val="1"/>
          <c:order val="1"/>
          <c:tx>
            <c:v>Exp Y</c:v>
          </c:tx>
          <c:spPr>
            <a:ln w="19050" cap="rnd">
              <a:solidFill>
                <a:srgbClr val="002060"/>
              </a:solidFill>
              <a:round/>
            </a:ln>
            <a:effectLst/>
          </c:spPr>
          <c:marker>
            <c:symbol val="circle"/>
            <c:size val="5"/>
            <c:spPr>
              <a:solidFill>
                <a:srgbClr val="002060"/>
              </a:solidFill>
              <a:ln w="9525">
                <a:solidFill>
                  <a:srgbClr val="002060"/>
                </a:solidFill>
              </a:ln>
              <a:effectLst/>
            </c:spPr>
          </c:marker>
          <c:xVal>
            <c:numRef>
              <c:f>M!$B$14:$B$20</c:f>
              <c:numCache>
                <c:formatCode>General</c:formatCode>
                <c:ptCount val="7"/>
                <c:pt idx="0">
                  <c:v>0</c:v>
                </c:pt>
                <c:pt idx="1">
                  <c:v>5</c:v>
                </c:pt>
                <c:pt idx="2">
                  <c:v>15</c:v>
                </c:pt>
                <c:pt idx="3">
                  <c:v>30</c:v>
                </c:pt>
                <c:pt idx="4">
                  <c:v>45</c:v>
                </c:pt>
                <c:pt idx="5">
                  <c:v>60</c:v>
                </c:pt>
                <c:pt idx="6">
                  <c:v>90</c:v>
                </c:pt>
              </c:numCache>
            </c:numRef>
          </c:xVal>
          <c:yVal>
            <c:numRef>
              <c:f>M!$G$14:$G$20</c:f>
              <c:numCache>
                <c:formatCode>0.00</c:formatCode>
                <c:ptCount val="7"/>
                <c:pt idx="0">
                  <c:v>0</c:v>
                </c:pt>
                <c:pt idx="1">
                  <c:v>15.782449115782448</c:v>
                </c:pt>
                <c:pt idx="2">
                  <c:v>34.567901234567906</c:v>
                </c:pt>
                <c:pt idx="3">
                  <c:v>61.261261261261254</c:v>
                </c:pt>
                <c:pt idx="4">
                  <c:v>72.996806330139663</c:v>
                </c:pt>
                <c:pt idx="5">
                  <c:v>82.801849468516124</c:v>
                </c:pt>
                <c:pt idx="6">
                  <c:v>92.764192764192771</c:v>
                </c:pt>
              </c:numCache>
            </c:numRef>
          </c:yVal>
          <c:smooth val="0"/>
          <c:extLst>
            <c:ext xmlns:c16="http://schemas.microsoft.com/office/drawing/2014/chart" uri="{C3380CC4-5D6E-409C-BE32-E72D297353CC}">
              <c16:uniqueId val="{00000001-AA88-4F86-B66C-A6F68DC692A0}"/>
            </c:ext>
          </c:extLst>
        </c:ser>
        <c:dLbls>
          <c:showLegendKey val="0"/>
          <c:showVal val="0"/>
          <c:showCatName val="0"/>
          <c:showSerName val="0"/>
          <c:showPercent val="0"/>
          <c:showBubbleSize val="0"/>
        </c:dLbls>
        <c:axId val="1167557200"/>
        <c:axId val="1036798176"/>
      </c:scatterChart>
      <c:valAx>
        <c:axId val="11675572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Tiempo</a:t>
                </a:r>
                <a:r>
                  <a:rPr lang="es-ES" baseline="0"/>
                  <a:t> (min)</a:t>
                </a:r>
                <a:endParaRPr lang="es-E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36798176"/>
        <c:crosses val="autoZero"/>
        <c:crossBetween val="midCat"/>
      </c:valAx>
      <c:valAx>
        <c:axId val="103679817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ES"/>
                  <a:t>Degradación</a:t>
                </a:r>
                <a:r>
                  <a:rPr lang="es-ES" baseline="0"/>
                  <a:t> (%)</a:t>
                </a:r>
                <a:endParaRPr lang="es-E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E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167557200"/>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8" Type="http://schemas.openxmlformats.org/officeDocument/2006/relationships/chart" Target="../charts/chart29.xml"/><Relationship Id="rId3" Type="http://schemas.openxmlformats.org/officeDocument/2006/relationships/chart" Target="../charts/chart24.xml"/><Relationship Id="rId7" Type="http://schemas.openxmlformats.org/officeDocument/2006/relationships/chart" Target="../charts/chart28.xml"/><Relationship Id="rId12" Type="http://schemas.openxmlformats.org/officeDocument/2006/relationships/chart" Target="../charts/chart33.xml"/><Relationship Id="rId2" Type="http://schemas.openxmlformats.org/officeDocument/2006/relationships/chart" Target="../charts/chart23.xml"/><Relationship Id="rId1" Type="http://schemas.openxmlformats.org/officeDocument/2006/relationships/chart" Target="../charts/chart22.xml"/><Relationship Id="rId6" Type="http://schemas.openxmlformats.org/officeDocument/2006/relationships/chart" Target="../charts/chart27.xml"/><Relationship Id="rId11" Type="http://schemas.openxmlformats.org/officeDocument/2006/relationships/chart" Target="../charts/chart32.xml"/><Relationship Id="rId5" Type="http://schemas.openxmlformats.org/officeDocument/2006/relationships/chart" Target="../charts/chart26.xml"/><Relationship Id="rId10" Type="http://schemas.openxmlformats.org/officeDocument/2006/relationships/chart" Target="../charts/chart31.xml"/><Relationship Id="rId4" Type="http://schemas.openxmlformats.org/officeDocument/2006/relationships/chart" Target="../charts/chart25.xml"/><Relationship Id="rId9" Type="http://schemas.openxmlformats.org/officeDocument/2006/relationships/chart" Target="../charts/chart30.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35.xml"/><Relationship Id="rId1" Type="http://schemas.openxmlformats.org/officeDocument/2006/relationships/chart" Target="../charts/chart34.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chart" Target="../charts/chart36.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4.xml"/><Relationship Id="rId5" Type="http://schemas.openxmlformats.org/officeDocument/2006/relationships/chart" Target="../charts/chart43.xml"/><Relationship Id="rId4" Type="http://schemas.openxmlformats.org/officeDocument/2006/relationships/chart" Target="../charts/chart42.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47.xml"/><Relationship Id="rId7" Type="http://schemas.openxmlformats.org/officeDocument/2006/relationships/chart" Target="../charts/chart51.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5" Type="http://schemas.openxmlformats.org/officeDocument/2006/relationships/chart" Target="../charts/chart49.xml"/><Relationship Id="rId4" Type="http://schemas.openxmlformats.org/officeDocument/2006/relationships/chart" Target="../charts/chart48.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54.xml"/><Relationship Id="rId2" Type="http://schemas.openxmlformats.org/officeDocument/2006/relationships/chart" Target="../charts/chart53.xml"/><Relationship Id="rId1" Type="http://schemas.openxmlformats.org/officeDocument/2006/relationships/chart" Target="../charts/chart52.xml"/><Relationship Id="rId5" Type="http://schemas.openxmlformats.org/officeDocument/2006/relationships/chart" Target="../charts/chart56.xml"/><Relationship Id="rId4" Type="http://schemas.openxmlformats.org/officeDocument/2006/relationships/chart" Target="../charts/chart55.xml"/></Relationships>
</file>

<file path=xl/drawings/_rels/drawing16.xml.rels><?xml version="1.0" encoding="UTF-8" standalone="yes"?>
<Relationships xmlns="http://schemas.openxmlformats.org/package/2006/relationships"><Relationship Id="rId8" Type="http://schemas.openxmlformats.org/officeDocument/2006/relationships/chart" Target="../charts/chart64.xml"/><Relationship Id="rId3" Type="http://schemas.openxmlformats.org/officeDocument/2006/relationships/chart" Target="../charts/chart59.xml"/><Relationship Id="rId7" Type="http://schemas.openxmlformats.org/officeDocument/2006/relationships/chart" Target="../charts/chart63.xml"/><Relationship Id="rId2" Type="http://schemas.openxmlformats.org/officeDocument/2006/relationships/chart" Target="../charts/chart58.xml"/><Relationship Id="rId1" Type="http://schemas.openxmlformats.org/officeDocument/2006/relationships/chart" Target="../charts/chart57.xml"/><Relationship Id="rId6" Type="http://schemas.openxmlformats.org/officeDocument/2006/relationships/chart" Target="../charts/chart62.xml"/><Relationship Id="rId5" Type="http://schemas.openxmlformats.org/officeDocument/2006/relationships/chart" Target="../charts/chart61.xml"/><Relationship Id="rId10" Type="http://schemas.openxmlformats.org/officeDocument/2006/relationships/chart" Target="../charts/chart66.xml"/><Relationship Id="rId4" Type="http://schemas.openxmlformats.org/officeDocument/2006/relationships/chart" Target="../charts/chart60.xml"/><Relationship Id="rId9" Type="http://schemas.openxmlformats.org/officeDocument/2006/relationships/chart" Target="../charts/chart65.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69.xml"/><Relationship Id="rId2" Type="http://schemas.openxmlformats.org/officeDocument/2006/relationships/chart" Target="../charts/chart68.xml"/><Relationship Id="rId1" Type="http://schemas.openxmlformats.org/officeDocument/2006/relationships/chart" Target="../charts/chart67.xml"/><Relationship Id="rId4" Type="http://schemas.openxmlformats.org/officeDocument/2006/relationships/chart" Target="../charts/chart70.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73.xml"/><Relationship Id="rId2" Type="http://schemas.openxmlformats.org/officeDocument/2006/relationships/chart" Target="../charts/chart72.xml"/><Relationship Id="rId1" Type="http://schemas.openxmlformats.org/officeDocument/2006/relationships/chart" Target="../charts/chart71.xml"/><Relationship Id="rId5" Type="http://schemas.openxmlformats.org/officeDocument/2006/relationships/chart" Target="../charts/chart75.xml"/><Relationship Id="rId4" Type="http://schemas.openxmlformats.org/officeDocument/2006/relationships/chart" Target="../charts/chart74.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78.xml"/><Relationship Id="rId2" Type="http://schemas.openxmlformats.org/officeDocument/2006/relationships/chart" Target="../charts/chart77.xml"/><Relationship Id="rId1" Type="http://schemas.openxmlformats.org/officeDocument/2006/relationships/chart" Target="../charts/chart76.xml"/><Relationship Id="rId5" Type="http://schemas.openxmlformats.org/officeDocument/2006/relationships/chart" Target="../charts/chart80.xml"/><Relationship Id="rId4" Type="http://schemas.openxmlformats.org/officeDocument/2006/relationships/chart" Target="../charts/chart7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83.xml"/><Relationship Id="rId2" Type="http://schemas.openxmlformats.org/officeDocument/2006/relationships/chart" Target="../charts/chart82.xml"/><Relationship Id="rId1" Type="http://schemas.openxmlformats.org/officeDocument/2006/relationships/chart" Target="../charts/chart81.xml"/><Relationship Id="rId6" Type="http://schemas.openxmlformats.org/officeDocument/2006/relationships/chart" Target="../charts/chart86.xml"/><Relationship Id="rId5" Type="http://schemas.openxmlformats.org/officeDocument/2006/relationships/chart" Target="../charts/chart85.xml"/><Relationship Id="rId4" Type="http://schemas.openxmlformats.org/officeDocument/2006/relationships/chart" Target="../charts/chart8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89.xml"/><Relationship Id="rId2" Type="http://schemas.openxmlformats.org/officeDocument/2006/relationships/chart" Target="../charts/chart88.xml"/><Relationship Id="rId1" Type="http://schemas.openxmlformats.org/officeDocument/2006/relationships/chart" Target="../charts/chart87.xml"/><Relationship Id="rId5" Type="http://schemas.openxmlformats.org/officeDocument/2006/relationships/chart" Target="../charts/chart91.xml"/><Relationship Id="rId4" Type="http://schemas.openxmlformats.org/officeDocument/2006/relationships/chart" Target="../charts/chart90.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94.xml"/><Relationship Id="rId2" Type="http://schemas.openxmlformats.org/officeDocument/2006/relationships/chart" Target="../charts/chart93.xml"/><Relationship Id="rId1" Type="http://schemas.openxmlformats.org/officeDocument/2006/relationships/chart" Target="../charts/chart92.xml"/><Relationship Id="rId5" Type="http://schemas.openxmlformats.org/officeDocument/2006/relationships/chart" Target="../charts/chart96.xml"/><Relationship Id="rId4" Type="http://schemas.openxmlformats.org/officeDocument/2006/relationships/chart" Target="../charts/chart95.xml"/></Relationships>
</file>

<file path=xl/drawings/_rels/drawing23.xml.rels><?xml version="1.0" encoding="UTF-8" standalone="yes"?>
<Relationships xmlns="http://schemas.openxmlformats.org/package/2006/relationships"><Relationship Id="rId3" Type="http://schemas.openxmlformats.org/officeDocument/2006/relationships/chart" Target="../charts/chart99.xml"/><Relationship Id="rId2" Type="http://schemas.openxmlformats.org/officeDocument/2006/relationships/chart" Target="../charts/chart98.xml"/><Relationship Id="rId1" Type="http://schemas.openxmlformats.org/officeDocument/2006/relationships/chart" Target="../charts/chart97.xml"/><Relationship Id="rId5" Type="http://schemas.openxmlformats.org/officeDocument/2006/relationships/chart" Target="../charts/chart101.xml"/><Relationship Id="rId4" Type="http://schemas.openxmlformats.org/officeDocument/2006/relationships/chart" Target="../charts/chart100.xml"/></Relationships>
</file>

<file path=xl/drawings/_rels/drawing24.xml.rels><?xml version="1.0" encoding="UTF-8" standalone="yes"?>
<Relationships xmlns="http://schemas.openxmlformats.org/package/2006/relationships"><Relationship Id="rId3" Type="http://schemas.openxmlformats.org/officeDocument/2006/relationships/chart" Target="../charts/chart104.xml"/><Relationship Id="rId2" Type="http://schemas.openxmlformats.org/officeDocument/2006/relationships/chart" Target="../charts/chart103.xml"/><Relationship Id="rId1" Type="http://schemas.openxmlformats.org/officeDocument/2006/relationships/chart" Target="../charts/chart102.xml"/><Relationship Id="rId5" Type="http://schemas.openxmlformats.org/officeDocument/2006/relationships/chart" Target="../charts/chart106.xml"/><Relationship Id="rId4" Type="http://schemas.openxmlformats.org/officeDocument/2006/relationships/chart" Target="../charts/chart105.xml"/></Relationships>
</file>

<file path=xl/drawings/_rels/drawing25.xml.rels><?xml version="1.0" encoding="UTF-8" standalone="yes"?>
<Relationships xmlns="http://schemas.openxmlformats.org/package/2006/relationships"><Relationship Id="rId3" Type="http://schemas.openxmlformats.org/officeDocument/2006/relationships/chart" Target="../charts/chart109.xml"/><Relationship Id="rId2" Type="http://schemas.openxmlformats.org/officeDocument/2006/relationships/chart" Target="../charts/chart108.xml"/><Relationship Id="rId1" Type="http://schemas.openxmlformats.org/officeDocument/2006/relationships/chart" Target="../charts/chart107.xml"/><Relationship Id="rId5" Type="http://schemas.openxmlformats.org/officeDocument/2006/relationships/chart" Target="../charts/chart111.xml"/><Relationship Id="rId4" Type="http://schemas.openxmlformats.org/officeDocument/2006/relationships/chart" Target="../charts/chart110.xml"/></Relationships>
</file>

<file path=xl/drawings/_rels/drawing26.xml.rels><?xml version="1.0" encoding="UTF-8" standalone="yes"?>
<Relationships xmlns="http://schemas.openxmlformats.org/package/2006/relationships"><Relationship Id="rId3" Type="http://schemas.openxmlformats.org/officeDocument/2006/relationships/chart" Target="../charts/chart114.xml"/><Relationship Id="rId2" Type="http://schemas.openxmlformats.org/officeDocument/2006/relationships/chart" Target="../charts/chart113.xml"/><Relationship Id="rId1" Type="http://schemas.openxmlformats.org/officeDocument/2006/relationships/chart" Target="../charts/chart112.xml"/><Relationship Id="rId5" Type="http://schemas.openxmlformats.org/officeDocument/2006/relationships/chart" Target="../charts/chart116.xml"/><Relationship Id="rId4" Type="http://schemas.openxmlformats.org/officeDocument/2006/relationships/chart" Target="../charts/chart115.xml"/></Relationships>
</file>

<file path=xl/drawings/_rels/drawing27.xml.rels><?xml version="1.0" encoding="UTF-8" standalone="yes"?>
<Relationships xmlns="http://schemas.openxmlformats.org/package/2006/relationships"><Relationship Id="rId3" Type="http://schemas.openxmlformats.org/officeDocument/2006/relationships/chart" Target="../charts/chart119.xml"/><Relationship Id="rId2" Type="http://schemas.openxmlformats.org/officeDocument/2006/relationships/chart" Target="../charts/chart118.xml"/><Relationship Id="rId1" Type="http://schemas.openxmlformats.org/officeDocument/2006/relationships/chart" Target="../charts/chart117.xml"/><Relationship Id="rId5" Type="http://schemas.openxmlformats.org/officeDocument/2006/relationships/chart" Target="../charts/chart121.xml"/><Relationship Id="rId4" Type="http://schemas.openxmlformats.org/officeDocument/2006/relationships/chart" Target="../charts/chart120.xml"/></Relationships>
</file>

<file path=xl/drawings/_rels/drawing28.xml.rels><?xml version="1.0" encoding="UTF-8" standalone="yes"?>
<Relationships xmlns="http://schemas.openxmlformats.org/package/2006/relationships"><Relationship Id="rId3" Type="http://schemas.openxmlformats.org/officeDocument/2006/relationships/chart" Target="../charts/chart124.xml"/><Relationship Id="rId2" Type="http://schemas.openxmlformats.org/officeDocument/2006/relationships/chart" Target="../charts/chart123.xml"/><Relationship Id="rId1" Type="http://schemas.openxmlformats.org/officeDocument/2006/relationships/chart" Target="../charts/chart122.xml"/></Relationships>
</file>

<file path=xl/drawings/_rels/drawing29.xml.rels><?xml version="1.0" encoding="UTF-8" standalone="yes"?>
<Relationships xmlns="http://schemas.openxmlformats.org/package/2006/relationships"><Relationship Id="rId3" Type="http://schemas.openxmlformats.org/officeDocument/2006/relationships/chart" Target="../charts/chart127.xml"/><Relationship Id="rId2" Type="http://schemas.openxmlformats.org/officeDocument/2006/relationships/chart" Target="../charts/chart126.xml"/><Relationship Id="rId1" Type="http://schemas.openxmlformats.org/officeDocument/2006/relationships/chart" Target="../charts/chart125.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3" Type="http://schemas.openxmlformats.org/officeDocument/2006/relationships/chart" Target="../charts/chart130.xml"/><Relationship Id="rId2" Type="http://schemas.openxmlformats.org/officeDocument/2006/relationships/chart" Target="../charts/chart129.xml"/><Relationship Id="rId1" Type="http://schemas.openxmlformats.org/officeDocument/2006/relationships/chart" Target="../charts/chart128.xml"/></Relationships>
</file>

<file path=xl/drawings/_rels/drawing31.xml.rels><?xml version="1.0" encoding="UTF-8" standalone="yes"?>
<Relationships xmlns="http://schemas.openxmlformats.org/package/2006/relationships"><Relationship Id="rId3" Type="http://schemas.openxmlformats.org/officeDocument/2006/relationships/chart" Target="../charts/chart133.xml"/><Relationship Id="rId2" Type="http://schemas.openxmlformats.org/officeDocument/2006/relationships/chart" Target="../charts/chart132.xml"/><Relationship Id="rId1" Type="http://schemas.openxmlformats.org/officeDocument/2006/relationships/chart" Target="../charts/chart131.xml"/></Relationships>
</file>

<file path=xl/drawings/_rels/drawing32.xml.rels><?xml version="1.0" encoding="UTF-8" standalone="yes"?>
<Relationships xmlns="http://schemas.openxmlformats.org/package/2006/relationships"><Relationship Id="rId3" Type="http://schemas.openxmlformats.org/officeDocument/2006/relationships/chart" Target="../charts/chart136.xml"/><Relationship Id="rId2" Type="http://schemas.openxmlformats.org/officeDocument/2006/relationships/chart" Target="../charts/chart135.xml"/><Relationship Id="rId1" Type="http://schemas.openxmlformats.org/officeDocument/2006/relationships/chart" Target="../charts/chart134.xml"/></Relationships>
</file>

<file path=xl/drawings/_rels/drawing33.xml.rels><?xml version="1.0" encoding="UTF-8" standalone="yes"?>
<Relationships xmlns="http://schemas.openxmlformats.org/package/2006/relationships"><Relationship Id="rId3" Type="http://schemas.openxmlformats.org/officeDocument/2006/relationships/chart" Target="../charts/chart139.xml"/><Relationship Id="rId2" Type="http://schemas.openxmlformats.org/officeDocument/2006/relationships/chart" Target="../charts/chart138.xml"/><Relationship Id="rId1" Type="http://schemas.openxmlformats.org/officeDocument/2006/relationships/chart" Target="../charts/chart137.xml"/></Relationships>
</file>

<file path=xl/drawings/_rels/drawing34.xml.rels><?xml version="1.0" encoding="UTF-8" standalone="yes"?>
<Relationships xmlns="http://schemas.openxmlformats.org/package/2006/relationships"><Relationship Id="rId3" Type="http://schemas.openxmlformats.org/officeDocument/2006/relationships/chart" Target="../charts/chart142.xml"/><Relationship Id="rId2" Type="http://schemas.openxmlformats.org/officeDocument/2006/relationships/chart" Target="../charts/chart141.xml"/><Relationship Id="rId1" Type="http://schemas.openxmlformats.org/officeDocument/2006/relationships/chart" Target="../charts/chart140.xml"/></Relationships>
</file>

<file path=xl/drawings/_rels/drawing35.xml.rels><?xml version="1.0" encoding="UTF-8" standalone="yes"?>
<Relationships xmlns="http://schemas.openxmlformats.org/package/2006/relationships"><Relationship Id="rId8" Type="http://schemas.openxmlformats.org/officeDocument/2006/relationships/chart" Target="../charts/chart150.xml"/><Relationship Id="rId13" Type="http://schemas.openxmlformats.org/officeDocument/2006/relationships/chart" Target="../charts/chart155.xml"/><Relationship Id="rId3" Type="http://schemas.openxmlformats.org/officeDocument/2006/relationships/chart" Target="../charts/chart145.xml"/><Relationship Id="rId7" Type="http://schemas.openxmlformats.org/officeDocument/2006/relationships/chart" Target="../charts/chart149.xml"/><Relationship Id="rId12" Type="http://schemas.openxmlformats.org/officeDocument/2006/relationships/chart" Target="../charts/chart154.xml"/><Relationship Id="rId2" Type="http://schemas.openxmlformats.org/officeDocument/2006/relationships/chart" Target="../charts/chart144.xml"/><Relationship Id="rId1" Type="http://schemas.openxmlformats.org/officeDocument/2006/relationships/chart" Target="../charts/chart143.xml"/><Relationship Id="rId6" Type="http://schemas.openxmlformats.org/officeDocument/2006/relationships/chart" Target="../charts/chart148.xml"/><Relationship Id="rId11" Type="http://schemas.openxmlformats.org/officeDocument/2006/relationships/chart" Target="../charts/chart153.xml"/><Relationship Id="rId5" Type="http://schemas.openxmlformats.org/officeDocument/2006/relationships/chart" Target="../charts/chart147.xml"/><Relationship Id="rId15" Type="http://schemas.openxmlformats.org/officeDocument/2006/relationships/chart" Target="../charts/chart157.xml"/><Relationship Id="rId10" Type="http://schemas.openxmlformats.org/officeDocument/2006/relationships/chart" Target="../charts/chart152.xml"/><Relationship Id="rId4" Type="http://schemas.openxmlformats.org/officeDocument/2006/relationships/chart" Target="../charts/chart146.xml"/><Relationship Id="rId9" Type="http://schemas.openxmlformats.org/officeDocument/2006/relationships/chart" Target="../charts/chart151.xml"/><Relationship Id="rId14" Type="http://schemas.openxmlformats.org/officeDocument/2006/relationships/chart" Target="../charts/chart156.xml"/></Relationships>
</file>

<file path=xl/drawings/_rels/drawing36.xml.rels><?xml version="1.0" encoding="UTF-8" standalone="yes"?>
<Relationships xmlns="http://schemas.openxmlformats.org/package/2006/relationships"><Relationship Id="rId3" Type="http://schemas.openxmlformats.org/officeDocument/2006/relationships/chart" Target="../charts/chart160.xml"/><Relationship Id="rId2" Type="http://schemas.openxmlformats.org/officeDocument/2006/relationships/chart" Target="../charts/chart159.xml"/><Relationship Id="rId1" Type="http://schemas.openxmlformats.org/officeDocument/2006/relationships/chart" Target="../charts/chart158.xml"/></Relationships>
</file>

<file path=xl/drawings/_rels/drawing37.xml.rels><?xml version="1.0" encoding="UTF-8" standalone="yes"?>
<Relationships xmlns="http://schemas.openxmlformats.org/package/2006/relationships"><Relationship Id="rId8" Type="http://schemas.openxmlformats.org/officeDocument/2006/relationships/chart" Target="../charts/chart168.xml"/><Relationship Id="rId3" Type="http://schemas.openxmlformats.org/officeDocument/2006/relationships/chart" Target="../charts/chart163.xml"/><Relationship Id="rId7" Type="http://schemas.openxmlformats.org/officeDocument/2006/relationships/chart" Target="../charts/chart167.xml"/><Relationship Id="rId2" Type="http://schemas.openxmlformats.org/officeDocument/2006/relationships/chart" Target="../charts/chart162.xml"/><Relationship Id="rId1" Type="http://schemas.openxmlformats.org/officeDocument/2006/relationships/chart" Target="../charts/chart161.xml"/><Relationship Id="rId6" Type="http://schemas.openxmlformats.org/officeDocument/2006/relationships/chart" Target="../charts/chart166.xml"/><Relationship Id="rId5" Type="http://schemas.openxmlformats.org/officeDocument/2006/relationships/chart" Target="../charts/chart165.xml"/><Relationship Id="rId4" Type="http://schemas.openxmlformats.org/officeDocument/2006/relationships/chart" Target="../charts/chart164.xml"/><Relationship Id="rId9" Type="http://schemas.openxmlformats.org/officeDocument/2006/relationships/chart" Target="../charts/chart16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 Id="rId5" Type="http://schemas.openxmlformats.org/officeDocument/2006/relationships/chart" Target="../charts/chart14.xml"/><Relationship Id="rId4"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chart" Target="../charts/chart16.xml"/><Relationship Id="rId1" Type="http://schemas.openxmlformats.org/officeDocument/2006/relationships/chart" Target="../charts/chart15.xml"/><Relationship Id="rId5" Type="http://schemas.openxmlformats.org/officeDocument/2006/relationships/chart" Target="../charts/chart19.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4</xdr:col>
      <xdr:colOff>3175</xdr:colOff>
      <xdr:row>4</xdr:row>
      <xdr:rowOff>184150</xdr:rowOff>
    </xdr:from>
    <xdr:to>
      <xdr:col>10</xdr:col>
      <xdr:colOff>3175</xdr:colOff>
      <xdr:row>19</xdr:row>
      <xdr:rowOff>184150</xdr:rowOff>
    </xdr:to>
    <xdr:graphicFrame macro="">
      <xdr:nvGraphicFramePr>
        <xdr:cNvPr id="2" name="Gráfico 1">
          <a:extLst>
            <a:ext uri="{FF2B5EF4-FFF2-40B4-BE49-F238E27FC236}">
              <a16:creationId xmlns:a16="http://schemas.microsoft.com/office/drawing/2014/main" id="{DD5B6A13-5B8E-DB8E-200B-37C7C86AE1A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CB913203-1A31-447D-8F97-62EBB35B4F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7EF3AD5D-6213-4B90-B852-2C3E20B175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7AE8DAC4-0B94-4E98-A32D-E62EDDA7FD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374953</xdr:colOff>
      <xdr:row>57</xdr:row>
      <xdr:rowOff>91168</xdr:rowOff>
    </xdr:from>
    <xdr:to>
      <xdr:col>17</xdr:col>
      <xdr:colOff>566965</xdr:colOff>
      <xdr:row>67</xdr:row>
      <xdr:rowOff>181428</xdr:rowOff>
    </xdr:to>
    <xdr:graphicFrame macro="">
      <xdr:nvGraphicFramePr>
        <xdr:cNvPr id="5" name="Gráfico 4">
          <a:extLst>
            <a:ext uri="{FF2B5EF4-FFF2-40B4-BE49-F238E27FC236}">
              <a16:creationId xmlns:a16="http://schemas.microsoft.com/office/drawing/2014/main" id="{49A2CE42-EE81-2CAB-FC48-7DC9EA4A73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700012</xdr:colOff>
      <xdr:row>56</xdr:row>
      <xdr:rowOff>174321</xdr:rowOff>
    </xdr:from>
    <xdr:to>
      <xdr:col>21</xdr:col>
      <xdr:colOff>642561</xdr:colOff>
      <xdr:row>67</xdr:row>
      <xdr:rowOff>166308</xdr:rowOff>
    </xdr:to>
    <xdr:graphicFrame macro="">
      <xdr:nvGraphicFramePr>
        <xdr:cNvPr id="6" name="Gráfico 5">
          <a:extLst>
            <a:ext uri="{FF2B5EF4-FFF2-40B4-BE49-F238E27FC236}">
              <a16:creationId xmlns:a16="http://schemas.microsoft.com/office/drawing/2014/main" id="{857BCCFE-938E-FD85-F2D0-4FF900C514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22</xdr:col>
      <xdr:colOff>465667</xdr:colOff>
      <xdr:row>56</xdr:row>
      <xdr:rowOff>151643</xdr:rowOff>
    </xdr:from>
    <xdr:to>
      <xdr:col>27</xdr:col>
      <xdr:colOff>219226</xdr:colOff>
      <xdr:row>67</xdr:row>
      <xdr:rowOff>166309</xdr:rowOff>
    </xdr:to>
    <xdr:graphicFrame macro="">
      <xdr:nvGraphicFramePr>
        <xdr:cNvPr id="7" name="Gráfico 6">
          <a:extLst>
            <a:ext uri="{FF2B5EF4-FFF2-40B4-BE49-F238E27FC236}">
              <a16:creationId xmlns:a16="http://schemas.microsoft.com/office/drawing/2014/main" id="{90DAB31C-FED7-56D9-B6F7-11DB30995D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87691</xdr:colOff>
      <xdr:row>13</xdr:row>
      <xdr:rowOff>53370</xdr:rowOff>
    </xdr:from>
    <xdr:to>
      <xdr:col>19</xdr:col>
      <xdr:colOff>438452</xdr:colOff>
      <xdr:row>24</xdr:row>
      <xdr:rowOff>98275</xdr:rowOff>
    </xdr:to>
    <xdr:graphicFrame macro="">
      <xdr:nvGraphicFramePr>
        <xdr:cNvPr id="8" name="Gráfico 7">
          <a:extLst>
            <a:ext uri="{FF2B5EF4-FFF2-40B4-BE49-F238E27FC236}">
              <a16:creationId xmlns:a16="http://schemas.microsoft.com/office/drawing/2014/main" id="{67E6B800-DA42-9BC9-357E-5564001ECC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133046</xdr:colOff>
      <xdr:row>13</xdr:row>
      <xdr:rowOff>53370</xdr:rowOff>
    </xdr:from>
    <xdr:to>
      <xdr:col>14</xdr:col>
      <xdr:colOff>597201</xdr:colOff>
      <xdr:row>24</xdr:row>
      <xdr:rowOff>68035</xdr:rowOff>
    </xdr:to>
    <xdr:graphicFrame macro="">
      <xdr:nvGraphicFramePr>
        <xdr:cNvPr id="9" name="Gráfico 8">
          <a:extLst>
            <a:ext uri="{FF2B5EF4-FFF2-40B4-BE49-F238E27FC236}">
              <a16:creationId xmlns:a16="http://schemas.microsoft.com/office/drawing/2014/main" id="{8C214BFF-B7FA-648A-CCB1-693105D57A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xdr:col>
      <xdr:colOff>340178</xdr:colOff>
      <xdr:row>12</xdr:row>
      <xdr:rowOff>136526</xdr:rowOff>
    </xdr:from>
    <xdr:to>
      <xdr:col>23</xdr:col>
      <xdr:colOff>514049</xdr:colOff>
      <xdr:row>25</xdr:row>
      <xdr:rowOff>136072</xdr:rowOff>
    </xdr:to>
    <xdr:graphicFrame macro="">
      <xdr:nvGraphicFramePr>
        <xdr:cNvPr id="10" name="Gráfico 9">
          <a:extLst>
            <a:ext uri="{FF2B5EF4-FFF2-40B4-BE49-F238E27FC236}">
              <a16:creationId xmlns:a16="http://schemas.microsoft.com/office/drawing/2014/main" id="{A9E4B638-7F10-BA4F-898B-F952A776E9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279702</xdr:colOff>
      <xdr:row>38</xdr:row>
      <xdr:rowOff>91169</xdr:rowOff>
    </xdr:from>
    <xdr:to>
      <xdr:col>14</xdr:col>
      <xdr:colOff>456595</xdr:colOff>
      <xdr:row>48</xdr:row>
      <xdr:rowOff>1</xdr:rowOff>
    </xdr:to>
    <xdr:graphicFrame macro="">
      <xdr:nvGraphicFramePr>
        <xdr:cNvPr id="11" name="Gráfico 10">
          <a:extLst>
            <a:ext uri="{FF2B5EF4-FFF2-40B4-BE49-F238E27FC236}">
              <a16:creationId xmlns:a16="http://schemas.microsoft.com/office/drawing/2014/main" id="{37B4848E-8718-0FB1-1819-00F69A34FD2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14</xdr:col>
      <xdr:colOff>586619</xdr:colOff>
      <xdr:row>38</xdr:row>
      <xdr:rowOff>68490</xdr:rowOff>
    </xdr:from>
    <xdr:to>
      <xdr:col>18</xdr:col>
      <xdr:colOff>604762</xdr:colOff>
      <xdr:row>48</xdr:row>
      <xdr:rowOff>120952</xdr:rowOff>
    </xdr:to>
    <xdr:graphicFrame macro="">
      <xdr:nvGraphicFramePr>
        <xdr:cNvPr id="12" name="Gráfico 11">
          <a:extLst>
            <a:ext uri="{FF2B5EF4-FFF2-40B4-BE49-F238E27FC236}">
              <a16:creationId xmlns:a16="http://schemas.microsoft.com/office/drawing/2014/main" id="{97CC2977-BD8C-FE19-2ADC-5FB0FDEBE6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19</xdr:col>
      <xdr:colOff>34774</xdr:colOff>
      <xdr:row>38</xdr:row>
      <xdr:rowOff>83610</xdr:rowOff>
    </xdr:from>
    <xdr:to>
      <xdr:col>23</xdr:col>
      <xdr:colOff>188988</xdr:colOff>
      <xdr:row>47</xdr:row>
      <xdr:rowOff>136071</xdr:rowOff>
    </xdr:to>
    <xdr:graphicFrame macro="">
      <xdr:nvGraphicFramePr>
        <xdr:cNvPr id="13" name="Gráfico 12">
          <a:extLst>
            <a:ext uri="{FF2B5EF4-FFF2-40B4-BE49-F238E27FC236}">
              <a16:creationId xmlns:a16="http://schemas.microsoft.com/office/drawing/2014/main" id="{38084C0F-CED5-075A-4688-87A00C10FB4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758825</xdr:colOff>
      <xdr:row>22</xdr:row>
      <xdr:rowOff>31750</xdr:rowOff>
    </xdr:from>
    <xdr:to>
      <xdr:col>3</xdr:col>
      <xdr:colOff>1441450</xdr:colOff>
      <xdr:row>35</xdr:row>
      <xdr:rowOff>19050</xdr:rowOff>
    </xdr:to>
    <xdr:graphicFrame macro="">
      <xdr:nvGraphicFramePr>
        <xdr:cNvPr id="2" name="Gráfico 1">
          <a:extLst>
            <a:ext uri="{FF2B5EF4-FFF2-40B4-BE49-F238E27FC236}">
              <a16:creationId xmlns:a16="http://schemas.microsoft.com/office/drawing/2014/main" id="{127E85B8-1F2B-42CC-B9D3-E6F09AAEBF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1257299</xdr:colOff>
      <xdr:row>22</xdr:row>
      <xdr:rowOff>6350</xdr:rowOff>
    </xdr:from>
    <xdr:to>
      <xdr:col>7</xdr:col>
      <xdr:colOff>984250</xdr:colOff>
      <xdr:row>35</xdr:row>
      <xdr:rowOff>0</xdr:rowOff>
    </xdr:to>
    <xdr:graphicFrame macro="">
      <xdr:nvGraphicFramePr>
        <xdr:cNvPr id="3" name="Gráfico 2">
          <a:extLst>
            <a:ext uri="{FF2B5EF4-FFF2-40B4-BE49-F238E27FC236}">
              <a16:creationId xmlns:a16="http://schemas.microsoft.com/office/drawing/2014/main" id="{4539FE73-A7BC-4B12-8EA8-66DC2EB7E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9</xdr:col>
      <xdr:colOff>756</xdr:colOff>
      <xdr:row>70</xdr:row>
      <xdr:rowOff>155424</xdr:rowOff>
    </xdr:from>
    <xdr:to>
      <xdr:col>16</xdr:col>
      <xdr:colOff>415774</xdr:colOff>
      <xdr:row>86</xdr:row>
      <xdr:rowOff>120953</xdr:rowOff>
    </xdr:to>
    <xdr:graphicFrame macro="">
      <xdr:nvGraphicFramePr>
        <xdr:cNvPr id="2" name="Gráfico 1">
          <a:extLst>
            <a:ext uri="{FF2B5EF4-FFF2-40B4-BE49-F238E27FC236}">
              <a16:creationId xmlns:a16="http://schemas.microsoft.com/office/drawing/2014/main" id="{3521F4CB-B902-4F83-B8EA-CA160FF9B5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244475</xdr:colOff>
      <xdr:row>23</xdr:row>
      <xdr:rowOff>25400</xdr:rowOff>
    </xdr:from>
    <xdr:to>
      <xdr:col>4</xdr:col>
      <xdr:colOff>415925</xdr:colOff>
      <xdr:row>38</xdr:row>
      <xdr:rowOff>19050</xdr:rowOff>
    </xdr:to>
    <xdr:graphicFrame macro="">
      <xdr:nvGraphicFramePr>
        <xdr:cNvPr id="3" name="Gráfico 2">
          <a:extLst>
            <a:ext uri="{FF2B5EF4-FFF2-40B4-BE49-F238E27FC236}">
              <a16:creationId xmlns:a16="http://schemas.microsoft.com/office/drawing/2014/main" id="{F1F86BDA-35F4-4F5C-9239-E28C4DD94F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600075</xdr:colOff>
      <xdr:row>23</xdr:row>
      <xdr:rowOff>31750</xdr:rowOff>
    </xdr:from>
    <xdr:to>
      <xdr:col>7</xdr:col>
      <xdr:colOff>555625</xdr:colOff>
      <xdr:row>38</xdr:row>
      <xdr:rowOff>25400</xdr:rowOff>
    </xdr:to>
    <xdr:graphicFrame macro="">
      <xdr:nvGraphicFramePr>
        <xdr:cNvPr id="4" name="Gráfico 3">
          <a:extLst>
            <a:ext uri="{FF2B5EF4-FFF2-40B4-BE49-F238E27FC236}">
              <a16:creationId xmlns:a16="http://schemas.microsoft.com/office/drawing/2014/main" id="{5BEE27F8-C227-494E-9004-BB54F2FA56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9</xdr:col>
      <xdr:colOff>756</xdr:colOff>
      <xdr:row>70</xdr:row>
      <xdr:rowOff>155424</xdr:rowOff>
    </xdr:from>
    <xdr:to>
      <xdr:col>16</xdr:col>
      <xdr:colOff>415774</xdr:colOff>
      <xdr:row>86</xdr:row>
      <xdr:rowOff>120953</xdr:rowOff>
    </xdr:to>
    <xdr:graphicFrame macro="">
      <xdr:nvGraphicFramePr>
        <xdr:cNvPr id="2" name="Gráfico 1">
          <a:extLst>
            <a:ext uri="{FF2B5EF4-FFF2-40B4-BE49-F238E27FC236}">
              <a16:creationId xmlns:a16="http://schemas.microsoft.com/office/drawing/2014/main" id="{C669F10E-41D9-438F-93E8-F646F5C5BD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244475</xdr:colOff>
      <xdr:row>23</xdr:row>
      <xdr:rowOff>25400</xdr:rowOff>
    </xdr:from>
    <xdr:to>
      <xdr:col>4</xdr:col>
      <xdr:colOff>415925</xdr:colOff>
      <xdr:row>38</xdr:row>
      <xdr:rowOff>19050</xdr:rowOff>
    </xdr:to>
    <xdr:graphicFrame macro="">
      <xdr:nvGraphicFramePr>
        <xdr:cNvPr id="3" name="Gráfico 2">
          <a:extLst>
            <a:ext uri="{FF2B5EF4-FFF2-40B4-BE49-F238E27FC236}">
              <a16:creationId xmlns:a16="http://schemas.microsoft.com/office/drawing/2014/main" id="{834AAAF7-95AD-41C1-808D-1C4DB03F74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600075</xdr:colOff>
      <xdr:row>23</xdr:row>
      <xdr:rowOff>31750</xdr:rowOff>
    </xdr:from>
    <xdr:to>
      <xdr:col>7</xdr:col>
      <xdr:colOff>555625</xdr:colOff>
      <xdr:row>38</xdr:row>
      <xdr:rowOff>25400</xdr:rowOff>
    </xdr:to>
    <xdr:graphicFrame macro="">
      <xdr:nvGraphicFramePr>
        <xdr:cNvPr id="4" name="Gráfico 3">
          <a:extLst>
            <a:ext uri="{FF2B5EF4-FFF2-40B4-BE49-F238E27FC236}">
              <a16:creationId xmlns:a16="http://schemas.microsoft.com/office/drawing/2014/main" id="{4A1A6684-C1AB-4B08-8210-7867AD8DAA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776112</xdr:colOff>
      <xdr:row>22</xdr:row>
      <xdr:rowOff>173567</xdr:rowOff>
    </xdr:from>
    <xdr:to>
      <xdr:col>11</xdr:col>
      <xdr:colOff>705556</xdr:colOff>
      <xdr:row>37</xdr:row>
      <xdr:rowOff>179212</xdr:rowOff>
    </xdr:to>
    <xdr:graphicFrame macro="">
      <xdr:nvGraphicFramePr>
        <xdr:cNvPr id="5" name="Gráfico 4">
          <a:extLst>
            <a:ext uri="{FF2B5EF4-FFF2-40B4-BE49-F238E27FC236}">
              <a16:creationId xmlns:a16="http://schemas.microsoft.com/office/drawing/2014/main" id="{DCD59C13-1C76-8C6A-60BC-02327DA66B7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0</xdr:colOff>
      <xdr:row>22</xdr:row>
      <xdr:rowOff>173567</xdr:rowOff>
    </xdr:from>
    <xdr:to>
      <xdr:col>18</xdr:col>
      <xdr:colOff>0</xdr:colOff>
      <xdr:row>37</xdr:row>
      <xdr:rowOff>179212</xdr:rowOff>
    </xdr:to>
    <xdr:graphicFrame macro="">
      <xdr:nvGraphicFramePr>
        <xdr:cNvPr id="6" name="Gráfico 5">
          <a:extLst>
            <a:ext uri="{FF2B5EF4-FFF2-40B4-BE49-F238E27FC236}">
              <a16:creationId xmlns:a16="http://schemas.microsoft.com/office/drawing/2014/main" id="{54F678A3-9CB9-3C34-153A-F799A127C2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155221</xdr:colOff>
      <xdr:row>23</xdr:row>
      <xdr:rowOff>4234</xdr:rowOff>
    </xdr:from>
    <xdr:to>
      <xdr:col>24</xdr:col>
      <xdr:colOff>155221</xdr:colOff>
      <xdr:row>38</xdr:row>
      <xdr:rowOff>9878</xdr:rowOff>
    </xdr:to>
    <xdr:graphicFrame macro="">
      <xdr:nvGraphicFramePr>
        <xdr:cNvPr id="7" name="Gráfico 6">
          <a:extLst>
            <a:ext uri="{FF2B5EF4-FFF2-40B4-BE49-F238E27FC236}">
              <a16:creationId xmlns:a16="http://schemas.microsoft.com/office/drawing/2014/main" id="{D4328CFE-3120-8649-BC4D-E6C7E8030A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CCB37D73-F918-409C-A3D6-AE8DE5FAB4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E99C1A7D-EC10-4D48-B399-928424396D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EECB9561-5E98-4A8A-8C88-75C169D09B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3175</xdr:colOff>
      <xdr:row>23</xdr:row>
      <xdr:rowOff>6350</xdr:rowOff>
    </xdr:from>
    <xdr:to>
      <xdr:col>4</xdr:col>
      <xdr:colOff>174625</xdr:colOff>
      <xdr:row>36</xdr:row>
      <xdr:rowOff>88900</xdr:rowOff>
    </xdr:to>
    <xdr:graphicFrame macro="">
      <xdr:nvGraphicFramePr>
        <xdr:cNvPr id="5" name="Gráfico 4">
          <a:extLst>
            <a:ext uri="{FF2B5EF4-FFF2-40B4-BE49-F238E27FC236}">
              <a16:creationId xmlns:a16="http://schemas.microsoft.com/office/drawing/2014/main" id="{1BE729E3-4154-4FD9-998E-98B5E0CFC9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587375</xdr:colOff>
      <xdr:row>23</xdr:row>
      <xdr:rowOff>12700</xdr:rowOff>
    </xdr:from>
    <xdr:to>
      <xdr:col>7</xdr:col>
      <xdr:colOff>542925</xdr:colOff>
      <xdr:row>36</xdr:row>
      <xdr:rowOff>95250</xdr:rowOff>
    </xdr:to>
    <xdr:graphicFrame macro="">
      <xdr:nvGraphicFramePr>
        <xdr:cNvPr id="6" name="Gráfico 5">
          <a:extLst>
            <a:ext uri="{FF2B5EF4-FFF2-40B4-BE49-F238E27FC236}">
              <a16:creationId xmlns:a16="http://schemas.microsoft.com/office/drawing/2014/main" id="{3687D56D-8619-43CB-8994-363AEFB442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493889</xdr:colOff>
      <xdr:row>2</xdr:row>
      <xdr:rowOff>145344</xdr:rowOff>
    </xdr:from>
    <xdr:to>
      <xdr:col>22</xdr:col>
      <xdr:colOff>479777</xdr:colOff>
      <xdr:row>21</xdr:row>
      <xdr:rowOff>169333</xdr:rowOff>
    </xdr:to>
    <xdr:graphicFrame macro="">
      <xdr:nvGraphicFramePr>
        <xdr:cNvPr id="7" name="Gráfico 6">
          <a:extLst>
            <a:ext uri="{FF2B5EF4-FFF2-40B4-BE49-F238E27FC236}">
              <a16:creationId xmlns:a16="http://schemas.microsoft.com/office/drawing/2014/main" id="{E3F1319F-0988-7616-1E5C-DB202BA5388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776111</xdr:colOff>
      <xdr:row>23</xdr:row>
      <xdr:rowOff>46567</xdr:rowOff>
    </xdr:from>
    <xdr:to>
      <xdr:col>13</xdr:col>
      <xdr:colOff>451555</xdr:colOff>
      <xdr:row>36</xdr:row>
      <xdr:rowOff>136878</xdr:rowOff>
    </xdr:to>
    <xdr:graphicFrame macro="">
      <xdr:nvGraphicFramePr>
        <xdr:cNvPr id="8" name="Gráfico 7">
          <a:extLst>
            <a:ext uri="{FF2B5EF4-FFF2-40B4-BE49-F238E27FC236}">
              <a16:creationId xmlns:a16="http://schemas.microsoft.com/office/drawing/2014/main" id="{996AE200-11EA-E4DC-A282-E7F4CC86F9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466725</xdr:colOff>
      <xdr:row>22</xdr:row>
      <xdr:rowOff>177800</xdr:rowOff>
    </xdr:from>
    <xdr:to>
      <xdr:col>4</xdr:col>
      <xdr:colOff>638175</xdr:colOff>
      <xdr:row>37</xdr:row>
      <xdr:rowOff>158750</xdr:rowOff>
    </xdr:to>
    <xdr:graphicFrame macro="">
      <xdr:nvGraphicFramePr>
        <xdr:cNvPr id="2" name="Gráfico 1">
          <a:extLst>
            <a:ext uri="{FF2B5EF4-FFF2-40B4-BE49-F238E27FC236}">
              <a16:creationId xmlns:a16="http://schemas.microsoft.com/office/drawing/2014/main" id="{FE3A7282-FC3D-4704-A4E1-6879623CFD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1292225</xdr:colOff>
      <xdr:row>23</xdr:row>
      <xdr:rowOff>19050</xdr:rowOff>
    </xdr:from>
    <xdr:to>
      <xdr:col>7</xdr:col>
      <xdr:colOff>1247775</xdr:colOff>
      <xdr:row>38</xdr:row>
      <xdr:rowOff>0</xdr:rowOff>
    </xdr:to>
    <xdr:graphicFrame macro="">
      <xdr:nvGraphicFramePr>
        <xdr:cNvPr id="3" name="Gráfico 2">
          <a:extLst>
            <a:ext uri="{FF2B5EF4-FFF2-40B4-BE49-F238E27FC236}">
              <a16:creationId xmlns:a16="http://schemas.microsoft.com/office/drawing/2014/main" id="{F39B5B96-93F7-48DE-B438-E3DA5B409A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458107</xdr:colOff>
      <xdr:row>22</xdr:row>
      <xdr:rowOff>159204</xdr:rowOff>
    </xdr:from>
    <xdr:to>
      <xdr:col>13</xdr:col>
      <xdr:colOff>131535</xdr:colOff>
      <xdr:row>37</xdr:row>
      <xdr:rowOff>180975</xdr:rowOff>
    </xdr:to>
    <xdr:graphicFrame macro="">
      <xdr:nvGraphicFramePr>
        <xdr:cNvPr id="4" name="Gráfico 3">
          <a:extLst>
            <a:ext uri="{FF2B5EF4-FFF2-40B4-BE49-F238E27FC236}">
              <a16:creationId xmlns:a16="http://schemas.microsoft.com/office/drawing/2014/main" id="{40451B73-8147-34C5-7B15-FFF7D9D115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356053</xdr:colOff>
      <xdr:row>23</xdr:row>
      <xdr:rowOff>11793</xdr:rowOff>
    </xdr:from>
    <xdr:to>
      <xdr:col>19</xdr:col>
      <xdr:colOff>369660</xdr:colOff>
      <xdr:row>38</xdr:row>
      <xdr:rowOff>33565</xdr:rowOff>
    </xdr:to>
    <xdr:graphicFrame macro="">
      <xdr:nvGraphicFramePr>
        <xdr:cNvPr id="5" name="Gráfico 4">
          <a:extLst>
            <a:ext uri="{FF2B5EF4-FFF2-40B4-BE49-F238E27FC236}">
              <a16:creationId xmlns:a16="http://schemas.microsoft.com/office/drawing/2014/main" id="{435E0DBD-BB7A-FB05-8CA7-C319F988C3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15875</xdr:colOff>
      <xdr:row>23</xdr:row>
      <xdr:rowOff>11794</xdr:rowOff>
    </xdr:from>
    <xdr:to>
      <xdr:col>26</xdr:col>
      <xdr:colOff>29482</xdr:colOff>
      <xdr:row>38</xdr:row>
      <xdr:rowOff>33566</xdr:rowOff>
    </xdr:to>
    <xdr:graphicFrame macro="">
      <xdr:nvGraphicFramePr>
        <xdr:cNvPr id="6" name="Gráfico 5">
          <a:extLst>
            <a:ext uri="{FF2B5EF4-FFF2-40B4-BE49-F238E27FC236}">
              <a16:creationId xmlns:a16="http://schemas.microsoft.com/office/drawing/2014/main" id="{FFA56DF3-8716-26E8-479D-39F4A24EF6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2</xdr:row>
      <xdr:rowOff>0</xdr:rowOff>
    </xdr:from>
    <xdr:to>
      <xdr:col>7</xdr:col>
      <xdr:colOff>760487</xdr:colOff>
      <xdr:row>17</xdr:row>
      <xdr:rowOff>72571</xdr:rowOff>
    </xdr:to>
    <xdr:graphicFrame macro="">
      <xdr:nvGraphicFramePr>
        <xdr:cNvPr id="2" name="Gráfico 1">
          <a:extLst>
            <a:ext uri="{FF2B5EF4-FFF2-40B4-BE49-F238E27FC236}">
              <a16:creationId xmlns:a16="http://schemas.microsoft.com/office/drawing/2014/main" id="{AF3C8146-A1BC-4DE7-A95B-75ECEAC078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298824</xdr:colOff>
      <xdr:row>2</xdr:row>
      <xdr:rowOff>24902</xdr:rowOff>
    </xdr:from>
    <xdr:to>
      <xdr:col>15</xdr:col>
      <xdr:colOff>147593</xdr:colOff>
      <xdr:row>17</xdr:row>
      <xdr:rowOff>76978</xdr:rowOff>
    </xdr:to>
    <xdr:graphicFrame macro="">
      <xdr:nvGraphicFramePr>
        <xdr:cNvPr id="3" name="Gráfico 2">
          <a:extLst>
            <a:ext uri="{FF2B5EF4-FFF2-40B4-BE49-F238E27FC236}">
              <a16:creationId xmlns:a16="http://schemas.microsoft.com/office/drawing/2014/main" id="{8C7F0B94-684A-43A4-9086-FF2421B1B9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522941</xdr:colOff>
      <xdr:row>2</xdr:row>
      <xdr:rowOff>0</xdr:rowOff>
    </xdr:from>
    <xdr:to>
      <xdr:col>23</xdr:col>
      <xdr:colOff>206464</xdr:colOff>
      <xdr:row>17</xdr:row>
      <xdr:rowOff>66915</xdr:rowOff>
    </xdr:to>
    <xdr:graphicFrame macro="">
      <xdr:nvGraphicFramePr>
        <xdr:cNvPr id="4" name="Gráfico 3">
          <a:extLst>
            <a:ext uri="{FF2B5EF4-FFF2-40B4-BE49-F238E27FC236}">
              <a16:creationId xmlns:a16="http://schemas.microsoft.com/office/drawing/2014/main" id="{B14B5E1C-71F2-4B8B-B840-ACCBD94976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751553</xdr:colOff>
      <xdr:row>21</xdr:row>
      <xdr:rowOff>164934</xdr:rowOff>
    </xdr:from>
    <xdr:to>
      <xdr:col>11</xdr:col>
      <xdr:colOff>82468</xdr:colOff>
      <xdr:row>41</xdr:row>
      <xdr:rowOff>8246</xdr:rowOff>
    </xdr:to>
    <xdr:graphicFrame macro="">
      <xdr:nvGraphicFramePr>
        <xdr:cNvPr id="5" name="Gráfico 4">
          <a:extLst>
            <a:ext uri="{FF2B5EF4-FFF2-40B4-BE49-F238E27FC236}">
              <a16:creationId xmlns:a16="http://schemas.microsoft.com/office/drawing/2014/main" id="{0C48835F-3CB1-4247-8D25-E8B2108F77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552533</xdr:colOff>
      <xdr:row>21</xdr:row>
      <xdr:rowOff>173181</xdr:rowOff>
    </xdr:from>
    <xdr:to>
      <xdr:col>21</xdr:col>
      <xdr:colOff>427733</xdr:colOff>
      <xdr:row>41</xdr:row>
      <xdr:rowOff>16493</xdr:rowOff>
    </xdr:to>
    <xdr:graphicFrame macro="">
      <xdr:nvGraphicFramePr>
        <xdr:cNvPr id="6" name="Gráfico 5">
          <a:extLst>
            <a:ext uri="{FF2B5EF4-FFF2-40B4-BE49-F238E27FC236}">
              <a16:creationId xmlns:a16="http://schemas.microsoft.com/office/drawing/2014/main" id="{71659970-88AF-49FF-B0B1-95C039DF69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321623</xdr:colOff>
      <xdr:row>41</xdr:row>
      <xdr:rowOff>164936</xdr:rowOff>
    </xdr:from>
    <xdr:to>
      <xdr:col>20</xdr:col>
      <xdr:colOff>8247</xdr:colOff>
      <xdr:row>51</xdr:row>
      <xdr:rowOff>148442</xdr:rowOff>
    </xdr:to>
    <xdr:sp macro="" textlink="">
      <xdr:nvSpPr>
        <xdr:cNvPr id="7" name="CuadroTexto 6">
          <a:extLst>
            <a:ext uri="{FF2B5EF4-FFF2-40B4-BE49-F238E27FC236}">
              <a16:creationId xmlns:a16="http://schemas.microsoft.com/office/drawing/2014/main" id="{B02F0007-7F4D-416E-8C08-D5C7B43F2DFA}"/>
            </a:ext>
          </a:extLst>
        </xdr:cNvPr>
        <xdr:cNvSpPr txBox="1"/>
      </xdr:nvSpPr>
      <xdr:spPr>
        <a:xfrm>
          <a:off x="9465623" y="7715086"/>
          <a:ext cx="5782624" cy="18250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El experimento</a:t>
          </a:r>
          <a:r>
            <a:rPr lang="es-ES" sz="1100" baseline="0"/>
            <a:t> Z sería el que tiene todo, OA + FOTO + Fibra MOF-Fe + FIbra g-C3N4</a:t>
          </a:r>
          <a:endParaRPr lang="es-ES" sz="1100"/>
        </a:p>
        <a:p>
          <a:endParaRPr lang="es-ES" sz="1100"/>
        </a:p>
        <a:p>
          <a:r>
            <a:rPr lang="es-ES" sz="1100"/>
            <a:t>La repetición del experiemento</a:t>
          </a:r>
          <a:r>
            <a:rPr lang="es-ES" sz="1100" baseline="0"/>
            <a:t> de OA + Fibra MOF-Fe (color verde) sigue dando algo raro, al prinicpio va muy rápido pero luego parece que se satura y se estabiliza. Estropea un poco la coherencia de los resultados</a:t>
          </a:r>
        </a:p>
        <a:p>
          <a:endParaRPr lang="es-ES" sz="1100" baseline="0"/>
        </a:p>
        <a:p>
          <a:r>
            <a:rPr lang="es-ES" sz="1100" baseline="0"/>
            <a:t>En cuanto al control de oxidación anódica a intensidad fija de 50 mA (color gris) muestra un resultado bueno y coherente. Habría que realizar de nuevo el resto de experimentos con esta intensidad. Antes de esto, no se si sería buena idea probar con 25 mA o ya es muy poquito</a:t>
          </a:r>
          <a:endParaRPr lang="es-ES" sz="1100"/>
        </a:p>
      </xdr:txBody>
    </xdr:sp>
    <xdr:clientData/>
  </xdr:twoCellAnchor>
  <xdr:twoCellAnchor>
    <xdr:from>
      <xdr:col>1</xdr:col>
      <xdr:colOff>8247</xdr:colOff>
      <xdr:row>57</xdr:row>
      <xdr:rowOff>90714</xdr:rowOff>
    </xdr:from>
    <xdr:to>
      <xdr:col>11</xdr:col>
      <xdr:colOff>97863</xdr:colOff>
      <xdr:row>76</xdr:row>
      <xdr:rowOff>115455</xdr:rowOff>
    </xdr:to>
    <xdr:graphicFrame macro="">
      <xdr:nvGraphicFramePr>
        <xdr:cNvPr id="8" name="Gráfico 7">
          <a:extLst>
            <a:ext uri="{FF2B5EF4-FFF2-40B4-BE49-F238E27FC236}">
              <a16:creationId xmlns:a16="http://schemas.microsoft.com/office/drawing/2014/main" id="{6A3C3700-1469-4F08-B4CE-BD2665B2DF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24740</xdr:colOff>
      <xdr:row>57</xdr:row>
      <xdr:rowOff>98961</xdr:rowOff>
    </xdr:from>
    <xdr:to>
      <xdr:col>22</xdr:col>
      <xdr:colOff>114356</xdr:colOff>
      <xdr:row>76</xdr:row>
      <xdr:rowOff>123702</xdr:rowOff>
    </xdr:to>
    <xdr:graphicFrame macro="">
      <xdr:nvGraphicFramePr>
        <xdr:cNvPr id="9" name="Gráfico 8">
          <a:extLst>
            <a:ext uri="{FF2B5EF4-FFF2-40B4-BE49-F238E27FC236}">
              <a16:creationId xmlns:a16="http://schemas.microsoft.com/office/drawing/2014/main" id="{C63A409A-8B2A-4E43-9C9F-FEA0F8BB07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569026</xdr:colOff>
      <xdr:row>57</xdr:row>
      <xdr:rowOff>98961</xdr:rowOff>
    </xdr:from>
    <xdr:to>
      <xdr:col>32</xdr:col>
      <xdr:colOff>658642</xdr:colOff>
      <xdr:row>76</xdr:row>
      <xdr:rowOff>123702</xdr:rowOff>
    </xdr:to>
    <xdr:graphicFrame macro="">
      <xdr:nvGraphicFramePr>
        <xdr:cNvPr id="10" name="Gráfico 9">
          <a:extLst>
            <a:ext uri="{FF2B5EF4-FFF2-40B4-BE49-F238E27FC236}">
              <a16:creationId xmlns:a16="http://schemas.microsoft.com/office/drawing/2014/main" id="{78113093-E987-43F1-9A55-BA6808BA8A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79</xdr:row>
      <xdr:rowOff>0</xdr:rowOff>
    </xdr:from>
    <xdr:to>
      <xdr:col>11</xdr:col>
      <xdr:colOff>89616</xdr:colOff>
      <xdr:row>98</xdr:row>
      <xdr:rowOff>24740</xdr:rowOff>
    </xdr:to>
    <xdr:graphicFrame macro="">
      <xdr:nvGraphicFramePr>
        <xdr:cNvPr id="11" name="Gráfico 10">
          <a:extLst>
            <a:ext uri="{FF2B5EF4-FFF2-40B4-BE49-F238E27FC236}">
              <a16:creationId xmlns:a16="http://schemas.microsoft.com/office/drawing/2014/main" id="{7F83779A-ACC2-4180-8FD8-EBF3657348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11</xdr:col>
      <xdr:colOff>742208</xdr:colOff>
      <xdr:row>79</xdr:row>
      <xdr:rowOff>16493</xdr:rowOff>
    </xdr:from>
    <xdr:to>
      <xdr:col>22</xdr:col>
      <xdr:colOff>73122</xdr:colOff>
      <xdr:row>98</xdr:row>
      <xdr:rowOff>41233</xdr:rowOff>
    </xdr:to>
    <xdr:graphicFrame macro="">
      <xdr:nvGraphicFramePr>
        <xdr:cNvPr id="12" name="Gráfico 11">
          <a:extLst>
            <a:ext uri="{FF2B5EF4-FFF2-40B4-BE49-F238E27FC236}">
              <a16:creationId xmlns:a16="http://schemas.microsoft.com/office/drawing/2014/main" id="{481212F4-3826-45EF-8DDA-3656D13B25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23</xdr:col>
      <xdr:colOff>742207</xdr:colOff>
      <xdr:row>77</xdr:row>
      <xdr:rowOff>8247</xdr:rowOff>
    </xdr:from>
    <xdr:to>
      <xdr:col>31</xdr:col>
      <xdr:colOff>280390</xdr:colOff>
      <xdr:row>81</xdr:row>
      <xdr:rowOff>16494</xdr:rowOff>
    </xdr:to>
    <xdr:sp macro="" textlink="">
      <xdr:nvSpPr>
        <xdr:cNvPr id="13" name="CuadroTexto 12">
          <a:extLst>
            <a:ext uri="{FF2B5EF4-FFF2-40B4-BE49-F238E27FC236}">
              <a16:creationId xmlns:a16="http://schemas.microsoft.com/office/drawing/2014/main" id="{B053BF07-EC1A-4773-9967-C4FC96782E0E}"/>
            </a:ext>
          </a:extLst>
        </xdr:cNvPr>
        <xdr:cNvSpPr txBox="1"/>
      </xdr:nvSpPr>
      <xdr:spPr>
        <a:xfrm>
          <a:off x="18268207" y="14187797"/>
          <a:ext cx="5634183" cy="7448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Fijando</a:t>
          </a:r>
          <a:r>
            <a:rPr lang="es-ES" sz="1100" baseline="0"/>
            <a:t> la intensidad a 25 mA el comportamiento del sistema OA + la fibra con MOF-Fe sigue una tendencia normal, más parecida al resto de experimentos. No sigue la misma tendencia que fijando la intensidad a 100 mA</a:t>
          </a:r>
          <a:endParaRPr lang="es-ES" sz="1100"/>
        </a:p>
      </xdr:txBody>
    </xdr:sp>
    <xdr:clientData/>
  </xdr:twoCellAnchor>
  <xdr:twoCellAnchor>
    <xdr:from>
      <xdr:col>3</xdr:col>
      <xdr:colOff>0</xdr:colOff>
      <xdr:row>99</xdr:row>
      <xdr:rowOff>0</xdr:rowOff>
    </xdr:from>
    <xdr:to>
      <xdr:col>10</xdr:col>
      <xdr:colOff>296884</xdr:colOff>
      <xdr:row>103</xdr:row>
      <xdr:rowOff>8247</xdr:rowOff>
    </xdr:to>
    <xdr:sp macro="" textlink="">
      <xdr:nvSpPr>
        <xdr:cNvPr id="14" name="CuadroTexto 13">
          <a:extLst>
            <a:ext uri="{FF2B5EF4-FFF2-40B4-BE49-F238E27FC236}">
              <a16:creationId xmlns:a16="http://schemas.microsoft.com/office/drawing/2014/main" id="{1101C5FE-FD12-47E2-A1F2-E24E2B7D04EF}"/>
            </a:ext>
          </a:extLst>
        </xdr:cNvPr>
        <xdr:cNvSpPr txBox="1"/>
      </xdr:nvSpPr>
      <xdr:spPr>
        <a:xfrm>
          <a:off x="2286000" y="18230850"/>
          <a:ext cx="5630884" cy="7448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Analizando los experimentos realizados con 25 mA y los controles se observa que el sistema electro-fenton (OA + fibra de MOF-Fe) va</a:t>
          </a:r>
          <a:r>
            <a:rPr lang="es-ES" sz="1100" baseline="0"/>
            <a:t> muy bien y practicamente igual que el sistema que tiene todo (OA + FOTO + fibras)</a:t>
          </a:r>
        </a:p>
      </xdr:txBody>
    </xdr:sp>
    <xdr:clientData/>
  </xdr:twoCellAnchor>
  <xdr:twoCellAnchor>
    <xdr:from>
      <xdr:col>12</xdr:col>
      <xdr:colOff>424542</xdr:colOff>
      <xdr:row>98</xdr:row>
      <xdr:rowOff>168894</xdr:rowOff>
    </xdr:from>
    <xdr:to>
      <xdr:col>19</xdr:col>
      <xdr:colOff>721426</xdr:colOff>
      <xdr:row>102</xdr:row>
      <xdr:rowOff>177141</xdr:rowOff>
    </xdr:to>
    <xdr:sp macro="" textlink="">
      <xdr:nvSpPr>
        <xdr:cNvPr id="15" name="CuadroTexto 14">
          <a:extLst>
            <a:ext uri="{FF2B5EF4-FFF2-40B4-BE49-F238E27FC236}">
              <a16:creationId xmlns:a16="http://schemas.microsoft.com/office/drawing/2014/main" id="{2B8FA6D6-ABEC-4DBC-A481-7E0C0540ABB5}"/>
            </a:ext>
          </a:extLst>
        </xdr:cNvPr>
        <xdr:cNvSpPr txBox="1"/>
      </xdr:nvSpPr>
      <xdr:spPr>
        <a:xfrm>
          <a:off x="9568542" y="18215594"/>
          <a:ext cx="5630884" cy="7448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Si comparamos</a:t>
          </a:r>
          <a:r>
            <a:rPr lang="es-ES" sz="1100" baseline="0"/>
            <a:t> los experimentos realizados con 100 mA y 25 mA</a:t>
          </a:r>
        </a:p>
        <a:p>
          <a:r>
            <a:rPr lang="es-ES" sz="1100" baseline="0"/>
            <a:t>Se puede ver el efecto de añadir la fibra con MOF-Fe, bastante significativo que no se apreciaba cuando se comparaban los sistemas de 100 mA</a:t>
          </a:r>
        </a:p>
        <a:p>
          <a:r>
            <a:rPr lang="es-ES" sz="1100" baseline="0"/>
            <a:t>No se observa mucha mejora al sumar el efecto foto y fibra g-C3N4</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3B33E692-1362-4E55-9BF5-8AA0E6DE88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12FE9725-F3DA-4A75-8DD3-01331B660D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FE07A501-AD26-4AA5-AFD8-A3587D82E9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3175</xdr:colOff>
      <xdr:row>30</xdr:row>
      <xdr:rowOff>82550</xdr:rowOff>
    </xdr:from>
    <xdr:to>
      <xdr:col>4</xdr:col>
      <xdr:colOff>174625</xdr:colOff>
      <xdr:row>43</xdr:row>
      <xdr:rowOff>177800</xdr:rowOff>
    </xdr:to>
    <xdr:graphicFrame macro="">
      <xdr:nvGraphicFramePr>
        <xdr:cNvPr id="5" name="Gráfico 4">
          <a:extLst>
            <a:ext uri="{FF2B5EF4-FFF2-40B4-BE49-F238E27FC236}">
              <a16:creationId xmlns:a16="http://schemas.microsoft.com/office/drawing/2014/main" id="{AE5E10B3-4CF6-4DC4-A000-0987BC08AB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D15A9468-6B3F-4773-9EFE-F94D3F3D8D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C50CF948-3541-4FDC-8451-A2149767F2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7733B334-3F73-440F-B5C2-2114820BFE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21245871-DB03-4F16-8D28-CA81B1333F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663575</xdr:colOff>
      <xdr:row>27</xdr:row>
      <xdr:rowOff>114300</xdr:rowOff>
    </xdr:from>
    <xdr:to>
      <xdr:col>7</xdr:col>
      <xdr:colOff>619125</xdr:colOff>
      <xdr:row>41</xdr:row>
      <xdr:rowOff>12700</xdr:rowOff>
    </xdr:to>
    <xdr:graphicFrame macro="">
      <xdr:nvGraphicFramePr>
        <xdr:cNvPr id="6" name="Gráfico 5">
          <a:extLst>
            <a:ext uri="{FF2B5EF4-FFF2-40B4-BE49-F238E27FC236}">
              <a16:creationId xmlns:a16="http://schemas.microsoft.com/office/drawing/2014/main" id="{F38E69B6-C0A1-4B33-861B-02FE562FF7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D129DD0B-A32A-4864-9515-AC58655BEF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7B98A3F9-B103-474C-9A22-49D96661BA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CCA5047E-D35D-47BB-9B69-B0251E1362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07FD4DDB-31BF-4F23-BA8E-87242EDA79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654372</xdr:colOff>
      <xdr:row>27</xdr:row>
      <xdr:rowOff>68285</xdr:rowOff>
    </xdr:from>
    <xdr:to>
      <xdr:col>7</xdr:col>
      <xdr:colOff>609922</xdr:colOff>
      <xdr:row>40</xdr:row>
      <xdr:rowOff>150743</xdr:rowOff>
    </xdr:to>
    <xdr:graphicFrame macro="">
      <xdr:nvGraphicFramePr>
        <xdr:cNvPr id="6" name="Gráfico 5">
          <a:extLst>
            <a:ext uri="{FF2B5EF4-FFF2-40B4-BE49-F238E27FC236}">
              <a16:creationId xmlns:a16="http://schemas.microsoft.com/office/drawing/2014/main" id="{852D2F0D-831D-4475-81B0-42D8A8BB84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19050</xdr:colOff>
      <xdr:row>7</xdr:row>
      <xdr:rowOff>0</xdr:rowOff>
    </xdr:from>
    <xdr:to>
      <xdr:col>8</xdr:col>
      <xdr:colOff>552450</xdr:colOff>
      <xdr:row>22</xdr:row>
      <xdr:rowOff>25400</xdr:rowOff>
    </xdr:to>
    <xdr:graphicFrame macro="">
      <xdr:nvGraphicFramePr>
        <xdr:cNvPr id="2" name="Gráfico 1">
          <a:extLst>
            <a:ext uri="{FF2B5EF4-FFF2-40B4-BE49-F238E27FC236}">
              <a16:creationId xmlns:a16="http://schemas.microsoft.com/office/drawing/2014/main" id="{BC7EC1BC-063C-4C66-A457-CAC721AB7F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FA320713-E2CC-4878-B87F-A70448090D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34695007-5270-4EAA-9788-124135315F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867C0C6F-07CC-48D6-8B54-5A2408BFA5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DCF16240-25F0-4C94-A165-8AC2887FED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437558</xdr:colOff>
      <xdr:row>27</xdr:row>
      <xdr:rowOff>114300</xdr:rowOff>
    </xdr:from>
    <xdr:to>
      <xdr:col>7</xdr:col>
      <xdr:colOff>393108</xdr:colOff>
      <xdr:row>41</xdr:row>
      <xdr:rowOff>12700</xdr:rowOff>
    </xdr:to>
    <xdr:graphicFrame macro="">
      <xdr:nvGraphicFramePr>
        <xdr:cNvPr id="6" name="Gráfico 5">
          <a:extLst>
            <a:ext uri="{FF2B5EF4-FFF2-40B4-BE49-F238E27FC236}">
              <a16:creationId xmlns:a16="http://schemas.microsoft.com/office/drawing/2014/main" id="{B2AF7538-0209-42C5-A124-85930DE830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410060</xdr:colOff>
      <xdr:row>28</xdr:row>
      <xdr:rowOff>22171</xdr:rowOff>
    </xdr:from>
    <xdr:to>
      <xdr:col>13</xdr:col>
      <xdr:colOff>74263</xdr:colOff>
      <xdr:row>41</xdr:row>
      <xdr:rowOff>128506</xdr:rowOff>
    </xdr:to>
    <xdr:graphicFrame macro="">
      <xdr:nvGraphicFramePr>
        <xdr:cNvPr id="7" name="Gráfico 6">
          <a:extLst>
            <a:ext uri="{FF2B5EF4-FFF2-40B4-BE49-F238E27FC236}">
              <a16:creationId xmlns:a16="http://schemas.microsoft.com/office/drawing/2014/main" id="{5A716297-2F13-0868-6913-94061FDE6E9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9470DDEA-B563-48C1-8782-94F661298B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F97CE0A6-BC24-4ACA-90E3-757FF0AA04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1F67E18A-A0B8-4A93-8F8B-C74FCB5A08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1CB5D341-0156-42B4-B1BE-EC66D59E97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663575</xdr:colOff>
      <xdr:row>27</xdr:row>
      <xdr:rowOff>114300</xdr:rowOff>
    </xdr:from>
    <xdr:to>
      <xdr:col>7</xdr:col>
      <xdr:colOff>619125</xdr:colOff>
      <xdr:row>41</xdr:row>
      <xdr:rowOff>12700</xdr:rowOff>
    </xdr:to>
    <xdr:graphicFrame macro="">
      <xdr:nvGraphicFramePr>
        <xdr:cNvPr id="6" name="Gráfico 5">
          <a:extLst>
            <a:ext uri="{FF2B5EF4-FFF2-40B4-BE49-F238E27FC236}">
              <a16:creationId xmlns:a16="http://schemas.microsoft.com/office/drawing/2014/main" id="{7C8C7003-E53B-436F-AEEC-309B81C81E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EE25908E-08AB-4413-8AB6-02BF9A37C0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2D1DBB29-206A-46BC-86AD-73F5558255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B7E4F645-ABD1-4890-AF57-0759446D27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15876</xdr:colOff>
      <xdr:row>26</xdr:row>
      <xdr:rowOff>176212</xdr:rowOff>
    </xdr:from>
    <xdr:to>
      <xdr:col>4</xdr:col>
      <xdr:colOff>176894</xdr:colOff>
      <xdr:row>40</xdr:row>
      <xdr:rowOff>107270</xdr:rowOff>
    </xdr:to>
    <xdr:graphicFrame macro="">
      <xdr:nvGraphicFramePr>
        <xdr:cNvPr id="6" name="Gráfico 5">
          <a:extLst>
            <a:ext uri="{FF2B5EF4-FFF2-40B4-BE49-F238E27FC236}">
              <a16:creationId xmlns:a16="http://schemas.microsoft.com/office/drawing/2014/main" id="{5F0C63A5-2283-0B41-23CA-4834350F93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605520</xdr:colOff>
      <xdr:row>27</xdr:row>
      <xdr:rowOff>17462</xdr:rowOff>
    </xdr:from>
    <xdr:to>
      <xdr:col>7</xdr:col>
      <xdr:colOff>562430</xdr:colOff>
      <xdr:row>40</xdr:row>
      <xdr:rowOff>129948</xdr:rowOff>
    </xdr:to>
    <xdr:graphicFrame macro="">
      <xdr:nvGraphicFramePr>
        <xdr:cNvPr id="7" name="Gráfico 6">
          <a:extLst>
            <a:ext uri="{FF2B5EF4-FFF2-40B4-BE49-F238E27FC236}">
              <a16:creationId xmlns:a16="http://schemas.microsoft.com/office/drawing/2014/main" id="{10DB1106-D6C1-E674-CBE8-7486B2EDE4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C4654755-FE86-4AD5-9B55-5D2CD9388D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B702E03F-9035-4E72-9484-6A35FD1E6D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38FABF0E-E5F8-4933-8475-5C444DCA2B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364A0E53-A73A-46D9-80C3-26F152F09E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663575</xdr:colOff>
      <xdr:row>27</xdr:row>
      <xdr:rowOff>50800</xdr:rowOff>
    </xdr:from>
    <xdr:to>
      <xdr:col>7</xdr:col>
      <xdr:colOff>619125</xdr:colOff>
      <xdr:row>40</xdr:row>
      <xdr:rowOff>133350</xdr:rowOff>
    </xdr:to>
    <xdr:graphicFrame macro="">
      <xdr:nvGraphicFramePr>
        <xdr:cNvPr id="6" name="Gráfico 5">
          <a:extLst>
            <a:ext uri="{FF2B5EF4-FFF2-40B4-BE49-F238E27FC236}">
              <a16:creationId xmlns:a16="http://schemas.microsoft.com/office/drawing/2014/main" id="{F6EB4566-A746-4CD8-9DAA-9F9D6546FC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3C8C0F17-5E55-4FF8-9CD0-B0304351F4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27FE9134-1B48-44CE-ABB9-5DAEA99139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EA838247-FFDE-4D56-8CF4-FE376FDF30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B62C3548-BF23-46CA-A04D-777820959A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663575</xdr:colOff>
      <xdr:row>27</xdr:row>
      <xdr:rowOff>114300</xdr:rowOff>
    </xdr:from>
    <xdr:to>
      <xdr:col>7</xdr:col>
      <xdr:colOff>619125</xdr:colOff>
      <xdr:row>41</xdr:row>
      <xdr:rowOff>12700</xdr:rowOff>
    </xdr:to>
    <xdr:graphicFrame macro="">
      <xdr:nvGraphicFramePr>
        <xdr:cNvPr id="6" name="Gráfico 5">
          <a:extLst>
            <a:ext uri="{FF2B5EF4-FFF2-40B4-BE49-F238E27FC236}">
              <a16:creationId xmlns:a16="http://schemas.microsoft.com/office/drawing/2014/main" id="{7608B94E-D80D-4680-93D9-E520DAFD7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F2C8808B-4617-45EF-BE10-94F84BB70C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FE1C5048-8408-4FD9-99BA-5796CF75E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6D4F9B5E-D17B-42F2-B862-270747D24C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6586556C-9204-4637-BEA8-64065678E0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663575</xdr:colOff>
      <xdr:row>27</xdr:row>
      <xdr:rowOff>50800</xdr:rowOff>
    </xdr:from>
    <xdr:to>
      <xdr:col>7</xdr:col>
      <xdr:colOff>619125</xdr:colOff>
      <xdr:row>40</xdr:row>
      <xdr:rowOff>133350</xdr:rowOff>
    </xdr:to>
    <xdr:graphicFrame macro="">
      <xdr:nvGraphicFramePr>
        <xdr:cNvPr id="6" name="Gráfico 5">
          <a:extLst>
            <a:ext uri="{FF2B5EF4-FFF2-40B4-BE49-F238E27FC236}">
              <a16:creationId xmlns:a16="http://schemas.microsoft.com/office/drawing/2014/main" id="{41084A5B-2176-40D4-AD5E-D50326BA1F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C225E557-BBD4-462E-86C1-0081CC2F2B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2890D67E-FEEB-4871-8BAC-2B2EC9AD1D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331701AA-0C09-473F-A2E9-8310D19E57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27</xdr:row>
      <xdr:rowOff>44450</xdr:rowOff>
    </xdr:from>
    <xdr:to>
      <xdr:col>4</xdr:col>
      <xdr:colOff>155575</xdr:colOff>
      <xdr:row>40</xdr:row>
      <xdr:rowOff>127000</xdr:rowOff>
    </xdr:to>
    <xdr:graphicFrame macro="">
      <xdr:nvGraphicFramePr>
        <xdr:cNvPr id="5" name="Gráfico 4">
          <a:extLst>
            <a:ext uri="{FF2B5EF4-FFF2-40B4-BE49-F238E27FC236}">
              <a16:creationId xmlns:a16="http://schemas.microsoft.com/office/drawing/2014/main" id="{0BC7C293-5905-4CF1-B5CA-8BF82B5E89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663575</xdr:colOff>
      <xdr:row>27</xdr:row>
      <xdr:rowOff>50800</xdr:rowOff>
    </xdr:from>
    <xdr:to>
      <xdr:col>7</xdr:col>
      <xdr:colOff>619125</xdr:colOff>
      <xdr:row>40</xdr:row>
      <xdr:rowOff>133350</xdr:rowOff>
    </xdr:to>
    <xdr:graphicFrame macro="">
      <xdr:nvGraphicFramePr>
        <xdr:cNvPr id="6" name="Gráfico 5">
          <a:extLst>
            <a:ext uri="{FF2B5EF4-FFF2-40B4-BE49-F238E27FC236}">
              <a16:creationId xmlns:a16="http://schemas.microsoft.com/office/drawing/2014/main" id="{5EA00DC9-DFE8-4074-AC79-7857446B06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4</xdr:col>
      <xdr:colOff>1561238</xdr:colOff>
      <xdr:row>64</xdr:row>
      <xdr:rowOff>7559</xdr:rowOff>
    </xdr:from>
    <xdr:to>
      <xdr:col>8</xdr:col>
      <xdr:colOff>845267</xdr:colOff>
      <xdr:row>79</xdr:row>
      <xdr:rowOff>139677</xdr:rowOff>
    </xdr:to>
    <xdr:graphicFrame macro="">
      <xdr:nvGraphicFramePr>
        <xdr:cNvPr id="7" name="Gráfico 6">
          <a:extLst>
            <a:ext uri="{FF2B5EF4-FFF2-40B4-BE49-F238E27FC236}">
              <a16:creationId xmlns:a16="http://schemas.microsoft.com/office/drawing/2014/main" id="{F9AAF07F-8A54-4330-A413-1F4CE6E87B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63</xdr:row>
      <xdr:rowOff>173868</xdr:rowOff>
    </xdr:from>
    <xdr:to>
      <xdr:col>4</xdr:col>
      <xdr:colOff>925285</xdr:colOff>
      <xdr:row>79</xdr:row>
      <xdr:rowOff>105832</xdr:rowOff>
    </xdr:to>
    <xdr:graphicFrame macro="">
      <xdr:nvGraphicFramePr>
        <xdr:cNvPr id="8" name="Gráfico 7">
          <a:extLst>
            <a:ext uri="{FF2B5EF4-FFF2-40B4-BE49-F238E27FC236}">
              <a16:creationId xmlns:a16="http://schemas.microsoft.com/office/drawing/2014/main" id="{3ED04A86-DAE7-456D-BD54-69DEB76D99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63</xdr:row>
      <xdr:rowOff>155424</xdr:rowOff>
    </xdr:from>
    <xdr:to>
      <xdr:col>16</xdr:col>
      <xdr:colOff>415774</xdr:colOff>
      <xdr:row>79</xdr:row>
      <xdr:rowOff>120953</xdr:rowOff>
    </xdr:to>
    <xdr:graphicFrame macro="">
      <xdr:nvGraphicFramePr>
        <xdr:cNvPr id="9" name="Gráfico 8">
          <a:extLst>
            <a:ext uri="{FF2B5EF4-FFF2-40B4-BE49-F238E27FC236}">
              <a16:creationId xmlns:a16="http://schemas.microsoft.com/office/drawing/2014/main" id="{70F7D57A-3FF6-426C-925C-96D21D3A07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746125</xdr:colOff>
      <xdr:row>20</xdr:row>
      <xdr:rowOff>44450</xdr:rowOff>
    </xdr:from>
    <xdr:to>
      <xdr:col>4</xdr:col>
      <xdr:colOff>155575</xdr:colOff>
      <xdr:row>33</xdr:row>
      <xdr:rowOff>127000</xdr:rowOff>
    </xdr:to>
    <xdr:graphicFrame macro="">
      <xdr:nvGraphicFramePr>
        <xdr:cNvPr id="10" name="Gráfico 9">
          <a:extLst>
            <a:ext uri="{FF2B5EF4-FFF2-40B4-BE49-F238E27FC236}">
              <a16:creationId xmlns:a16="http://schemas.microsoft.com/office/drawing/2014/main" id="{296C9100-2A51-45FA-8C95-451CBB0AF2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663575</xdr:colOff>
      <xdr:row>20</xdr:row>
      <xdr:rowOff>50800</xdr:rowOff>
    </xdr:from>
    <xdr:to>
      <xdr:col>7</xdr:col>
      <xdr:colOff>619125</xdr:colOff>
      <xdr:row>33</xdr:row>
      <xdr:rowOff>133350</xdr:rowOff>
    </xdr:to>
    <xdr:graphicFrame macro="">
      <xdr:nvGraphicFramePr>
        <xdr:cNvPr id="11" name="Gráfico 10">
          <a:extLst>
            <a:ext uri="{FF2B5EF4-FFF2-40B4-BE49-F238E27FC236}">
              <a16:creationId xmlns:a16="http://schemas.microsoft.com/office/drawing/2014/main" id="{04959903-3CF4-4F58-8ECF-FAD131FE20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0AA0E714-867B-4D72-BC0C-7D39B78C1A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57556F9A-8FA3-4A12-9654-6BE973C0B1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C75D2252-53AB-423F-9DA0-37E3BD4E72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4</xdr:col>
      <xdr:colOff>1561238</xdr:colOff>
      <xdr:row>72</xdr:row>
      <xdr:rowOff>7559</xdr:rowOff>
    </xdr:from>
    <xdr:to>
      <xdr:col>8</xdr:col>
      <xdr:colOff>845267</xdr:colOff>
      <xdr:row>87</xdr:row>
      <xdr:rowOff>139677</xdr:rowOff>
    </xdr:to>
    <xdr:graphicFrame macro="">
      <xdr:nvGraphicFramePr>
        <xdr:cNvPr id="2" name="Gráfico 1">
          <a:extLst>
            <a:ext uri="{FF2B5EF4-FFF2-40B4-BE49-F238E27FC236}">
              <a16:creationId xmlns:a16="http://schemas.microsoft.com/office/drawing/2014/main" id="{2757F0D8-0E15-4102-B03C-9D172741AF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71</xdr:row>
      <xdr:rowOff>173868</xdr:rowOff>
    </xdr:from>
    <xdr:to>
      <xdr:col>4</xdr:col>
      <xdr:colOff>925285</xdr:colOff>
      <xdr:row>87</xdr:row>
      <xdr:rowOff>105832</xdr:rowOff>
    </xdr:to>
    <xdr:graphicFrame macro="">
      <xdr:nvGraphicFramePr>
        <xdr:cNvPr id="3" name="Gráfico 2">
          <a:extLst>
            <a:ext uri="{FF2B5EF4-FFF2-40B4-BE49-F238E27FC236}">
              <a16:creationId xmlns:a16="http://schemas.microsoft.com/office/drawing/2014/main" id="{15F937DE-6E52-4F15-AAE9-6826078BC9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71</xdr:row>
      <xdr:rowOff>155424</xdr:rowOff>
    </xdr:from>
    <xdr:to>
      <xdr:col>16</xdr:col>
      <xdr:colOff>415774</xdr:colOff>
      <xdr:row>87</xdr:row>
      <xdr:rowOff>120953</xdr:rowOff>
    </xdr:to>
    <xdr:graphicFrame macro="">
      <xdr:nvGraphicFramePr>
        <xdr:cNvPr id="4" name="Gráfico 3">
          <a:extLst>
            <a:ext uri="{FF2B5EF4-FFF2-40B4-BE49-F238E27FC236}">
              <a16:creationId xmlns:a16="http://schemas.microsoft.com/office/drawing/2014/main" id="{0DC94B30-7F40-41E8-ACFB-EB52949C5E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473074</xdr:colOff>
      <xdr:row>24</xdr:row>
      <xdr:rowOff>69850</xdr:rowOff>
    </xdr:from>
    <xdr:to>
      <xdr:col>15</xdr:col>
      <xdr:colOff>527049</xdr:colOff>
      <xdr:row>38</xdr:row>
      <xdr:rowOff>146050</xdr:rowOff>
    </xdr:to>
    <xdr:graphicFrame macro="">
      <xdr:nvGraphicFramePr>
        <xdr:cNvPr id="2" name="Gráfico 1">
          <a:extLst>
            <a:ext uri="{FF2B5EF4-FFF2-40B4-BE49-F238E27FC236}">
              <a16:creationId xmlns:a16="http://schemas.microsoft.com/office/drawing/2014/main" id="{0D8F3D04-A14F-48FA-B77A-350628D909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365124</xdr:colOff>
      <xdr:row>25</xdr:row>
      <xdr:rowOff>69850</xdr:rowOff>
    </xdr:from>
    <xdr:to>
      <xdr:col>5</xdr:col>
      <xdr:colOff>133350</xdr:colOff>
      <xdr:row>41</xdr:row>
      <xdr:rowOff>101600</xdr:rowOff>
    </xdr:to>
    <xdr:graphicFrame macro="">
      <xdr:nvGraphicFramePr>
        <xdr:cNvPr id="3" name="Gráfico 2">
          <a:extLst>
            <a:ext uri="{FF2B5EF4-FFF2-40B4-BE49-F238E27FC236}">
              <a16:creationId xmlns:a16="http://schemas.microsoft.com/office/drawing/2014/main" id="{C93D35C8-2477-40F6-A23B-DAFFA4FDE5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4</xdr:col>
      <xdr:colOff>1561238</xdr:colOff>
      <xdr:row>70</xdr:row>
      <xdr:rowOff>7559</xdr:rowOff>
    </xdr:from>
    <xdr:to>
      <xdr:col>8</xdr:col>
      <xdr:colOff>845267</xdr:colOff>
      <xdr:row>85</xdr:row>
      <xdr:rowOff>139677</xdr:rowOff>
    </xdr:to>
    <xdr:graphicFrame macro="">
      <xdr:nvGraphicFramePr>
        <xdr:cNvPr id="2" name="Gráfico 1">
          <a:extLst>
            <a:ext uri="{FF2B5EF4-FFF2-40B4-BE49-F238E27FC236}">
              <a16:creationId xmlns:a16="http://schemas.microsoft.com/office/drawing/2014/main" id="{A4A3D055-79F3-4360-814E-CA452DCBC1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69</xdr:row>
      <xdr:rowOff>173868</xdr:rowOff>
    </xdr:from>
    <xdr:to>
      <xdr:col>4</xdr:col>
      <xdr:colOff>925285</xdr:colOff>
      <xdr:row>85</xdr:row>
      <xdr:rowOff>105832</xdr:rowOff>
    </xdr:to>
    <xdr:graphicFrame macro="">
      <xdr:nvGraphicFramePr>
        <xdr:cNvPr id="3" name="Gráfico 2">
          <a:extLst>
            <a:ext uri="{FF2B5EF4-FFF2-40B4-BE49-F238E27FC236}">
              <a16:creationId xmlns:a16="http://schemas.microsoft.com/office/drawing/2014/main" id="{35D95210-A082-4151-9CA8-BF45F122ED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69</xdr:row>
      <xdr:rowOff>155424</xdr:rowOff>
    </xdr:from>
    <xdr:to>
      <xdr:col>16</xdr:col>
      <xdr:colOff>415774</xdr:colOff>
      <xdr:row>85</xdr:row>
      <xdr:rowOff>120953</xdr:rowOff>
    </xdr:to>
    <xdr:graphicFrame macro="">
      <xdr:nvGraphicFramePr>
        <xdr:cNvPr id="4" name="Gráfico 3">
          <a:extLst>
            <a:ext uri="{FF2B5EF4-FFF2-40B4-BE49-F238E27FC236}">
              <a16:creationId xmlns:a16="http://schemas.microsoft.com/office/drawing/2014/main" id="{EFD77957-B723-466A-904E-44D13C91E4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4</xdr:col>
      <xdr:colOff>1561238</xdr:colOff>
      <xdr:row>70</xdr:row>
      <xdr:rowOff>7559</xdr:rowOff>
    </xdr:from>
    <xdr:to>
      <xdr:col>9</xdr:col>
      <xdr:colOff>845267</xdr:colOff>
      <xdr:row>85</xdr:row>
      <xdr:rowOff>139677</xdr:rowOff>
    </xdr:to>
    <xdr:graphicFrame macro="">
      <xdr:nvGraphicFramePr>
        <xdr:cNvPr id="2" name="Gráfico 1">
          <a:extLst>
            <a:ext uri="{FF2B5EF4-FFF2-40B4-BE49-F238E27FC236}">
              <a16:creationId xmlns:a16="http://schemas.microsoft.com/office/drawing/2014/main" id="{A1A0B068-C346-4A73-AAC5-371ECDE09C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69</xdr:row>
      <xdr:rowOff>173868</xdr:rowOff>
    </xdr:from>
    <xdr:to>
      <xdr:col>4</xdr:col>
      <xdr:colOff>925285</xdr:colOff>
      <xdr:row>85</xdr:row>
      <xdr:rowOff>105832</xdr:rowOff>
    </xdr:to>
    <xdr:graphicFrame macro="">
      <xdr:nvGraphicFramePr>
        <xdr:cNvPr id="3" name="Gráfico 2">
          <a:extLst>
            <a:ext uri="{FF2B5EF4-FFF2-40B4-BE49-F238E27FC236}">
              <a16:creationId xmlns:a16="http://schemas.microsoft.com/office/drawing/2014/main" id="{24C54490-A7B7-484C-829E-6335850966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756</xdr:colOff>
      <xdr:row>69</xdr:row>
      <xdr:rowOff>155424</xdr:rowOff>
    </xdr:from>
    <xdr:to>
      <xdr:col>17</xdr:col>
      <xdr:colOff>415774</xdr:colOff>
      <xdr:row>85</xdr:row>
      <xdr:rowOff>120953</xdr:rowOff>
    </xdr:to>
    <xdr:graphicFrame macro="">
      <xdr:nvGraphicFramePr>
        <xdr:cNvPr id="4" name="Gráfico 3">
          <a:extLst>
            <a:ext uri="{FF2B5EF4-FFF2-40B4-BE49-F238E27FC236}">
              <a16:creationId xmlns:a16="http://schemas.microsoft.com/office/drawing/2014/main" id="{F3C0AE15-ABF8-48E5-BBA6-9BEA3451D7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4</xdr:col>
      <xdr:colOff>1561238</xdr:colOff>
      <xdr:row>70</xdr:row>
      <xdr:rowOff>7559</xdr:rowOff>
    </xdr:from>
    <xdr:to>
      <xdr:col>9</xdr:col>
      <xdr:colOff>845267</xdr:colOff>
      <xdr:row>85</xdr:row>
      <xdr:rowOff>139677</xdr:rowOff>
    </xdr:to>
    <xdr:graphicFrame macro="">
      <xdr:nvGraphicFramePr>
        <xdr:cNvPr id="2" name="Gráfico 1">
          <a:extLst>
            <a:ext uri="{FF2B5EF4-FFF2-40B4-BE49-F238E27FC236}">
              <a16:creationId xmlns:a16="http://schemas.microsoft.com/office/drawing/2014/main" id="{4C6A1045-8F22-48B7-B5FE-D61535F4AA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69</xdr:row>
      <xdr:rowOff>173868</xdr:rowOff>
    </xdr:from>
    <xdr:to>
      <xdr:col>4</xdr:col>
      <xdr:colOff>925285</xdr:colOff>
      <xdr:row>85</xdr:row>
      <xdr:rowOff>105832</xdr:rowOff>
    </xdr:to>
    <xdr:graphicFrame macro="">
      <xdr:nvGraphicFramePr>
        <xdr:cNvPr id="3" name="Gráfico 2">
          <a:extLst>
            <a:ext uri="{FF2B5EF4-FFF2-40B4-BE49-F238E27FC236}">
              <a16:creationId xmlns:a16="http://schemas.microsoft.com/office/drawing/2014/main" id="{E68A3947-1130-45C2-BC29-C2F694B924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756</xdr:colOff>
      <xdr:row>69</xdr:row>
      <xdr:rowOff>155424</xdr:rowOff>
    </xdr:from>
    <xdr:to>
      <xdr:col>17</xdr:col>
      <xdr:colOff>415774</xdr:colOff>
      <xdr:row>85</xdr:row>
      <xdr:rowOff>120953</xdr:rowOff>
    </xdr:to>
    <xdr:graphicFrame macro="">
      <xdr:nvGraphicFramePr>
        <xdr:cNvPr id="4" name="Gráfico 3">
          <a:extLst>
            <a:ext uri="{FF2B5EF4-FFF2-40B4-BE49-F238E27FC236}">
              <a16:creationId xmlns:a16="http://schemas.microsoft.com/office/drawing/2014/main" id="{21DBF9FE-C899-448B-A59A-262A943748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4</xdr:col>
      <xdr:colOff>1561238</xdr:colOff>
      <xdr:row>70</xdr:row>
      <xdr:rowOff>7559</xdr:rowOff>
    </xdr:from>
    <xdr:to>
      <xdr:col>8</xdr:col>
      <xdr:colOff>845267</xdr:colOff>
      <xdr:row>85</xdr:row>
      <xdr:rowOff>139677</xdr:rowOff>
    </xdr:to>
    <xdr:graphicFrame macro="">
      <xdr:nvGraphicFramePr>
        <xdr:cNvPr id="2" name="Gráfico 1">
          <a:extLst>
            <a:ext uri="{FF2B5EF4-FFF2-40B4-BE49-F238E27FC236}">
              <a16:creationId xmlns:a16="http://schemas.microsoft.com/office/drawing/2014/main" id="{719477F6-644E-494E-88B1-1D0ABEB2FB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69</xdr:row>
      <xdr:rowOff>173868</xdr:rowOff>
    </xdr:from>
    <xdr:to>
      <xdr:col>4</xdr:col>
      <xdr:colOff>925285</xdr:colOff>
      <xdr:row>85</xdr:row>
      <xdr:rowOff>105832</xdr:rowOff>
    </xdr:to>
    <xdr:graphicFrame macro="">
      <xdr:nvGraphicFramePr>
        <xdr:cNvPr id="3" name="Gráfico 2">
          <a:extLst>
            <a:ext uri="{FF2B5EF4-FFF2-40B4-BE49-F238E27FC236}">
              <a16:creationId xmlns:a16="http://schemas.microsoft.com/office/drawing/2014/main" id="{5A7B20D4-66FF-4113-988F-43231EC7EB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69</xdr:row>
      <xdr:rowOff>155424</xdr:rowOff>
    </xdr:from>
    <xdr:to>
      <xdr:col>16</xdr:col>
      <xdr:colOff>415774</xdr:colOff>
      <xdr:row>85</xdr:row>
      <xdr:rowOff>120953</xdr:rowOff>
    </xdr:to>
    <xdr:graphicFrame macro="">
      <xdr:nvGraphicFramePr>
        <xdr:cNvPr id="4" name="Gráfico 3">
          <a:extLst>
            <a:ext uri="{FF2B5EF4-FFF2-40B4-BE49-F238E27FC236}">
              <a16:creationId xmlns:a16="http://schemas.microsoft.com/office/drawing/2014/main" id="{A30E68EC-7552-44C3-8485-88A9460D27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4</xdr:col>
      <xdr:colOff>1561238</xdr:colOff>
      <xdr:row>70</xdr:row>
      <xdr:rowOff>7559</xdr:rowOff>
    </xdr:from>
    <xdr:to>
      <xdr:col>8</xdr:col>
      <xdr:colOff>845267</xdr:colOff>
      <xdr:row>85</xdr:row>
      <xdr:rowOff>139677</xdr:rowOff>
    </xdr:to>
    <xdr:graphicFrame macro="">
      <xdr:nvGraphicFramePr>
        <xdr:cNvPr id="2" name="Gráfico 1">
          <a:extLst>
            <a:ext uri="{FF2B5EF4-FFF2-40B4-BE49-F238E27FC236}">
              <a16:creationId xmlns:a16="http://schemas.microsoft.com/office/drawing/2014/main" id="{7A46E270-2E6C-418B-B209-8E0FFD229F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69</xdr:row>
      <xdr:rowOff>173868</xdr:rowOff>
    </xdr:from>
    <xdr:to>
      <xdr:col>4</xdr:col>
      <xdr:colOff>925285</xdr:colOff>
      <xdr:row>85</xdr:row>
      <xdr:rowOff>105832</xdr:rowOff>
    </xdr:to>
    <xdr:graphicFrame macro="">
      <xdr:nvGraphicFramePr>
        <xdr:cNvPr id="3" name="Gráfico 2">
          <a:extLst>
            <a:ext uri="{FF2B5EF4-FFF2-40B4-BE49-F238E27FC236}">
              <a16:creationId xmlns:a16="http://schemas.microsoft.com/office/drawing/2014/main" id="{2632244A-23F3-48CF-8A4F-AC66391244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69</xdr:row>
      <xdr:rowOff>155424</xdr:rowOff>
    </xdr:from>
    <xdr:to>
      <xdr:col>16</xdr:col>
      <xdr:colOff>415774</xdr:colOff>
      <xdr:row>85</xdr:row>
      <xdr:rowOff>120953</xdr:rowOff>
    </xdr:to>
    <xdr:graphicFrame macro="">
      <xdr:nvGraphicFramePr>
        <xdr:cNvPr id="4" name="Gráfico 3">
          <a:extLst>
            <a:ext uri="{FF2B5EF4-FFF2-40B4-BE49-F238E27FC236}">
              <a16:creationId xmlns:a16="http://schemas.microsoft.com/office/drawing/2014/main" id="{561DDA3C-7991-41B4-9F86-148B321BF8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11</xdr:col>
      <xdr:colOff>192172</xdr:colOff>
      <xdr:row>0</xdr:row>
      <xdr:rowOff>175461</xdr:rowOff>
    </xdr:from>
    <xdr:to>
      <xdr:col>20</xdr:col>
      <xdr:colOff>204871</xdr:colOff>
      <xdr:row>17</xdr:row>
      <xdr:rowOff>164826</xdr:rowOff>
    </xdr:to>
    <xdr:graphicFrame macro="">
      <xdr:nvGraphicFramePr>
        <xdr:cNvPr id="2" name="Gráfico 1">
          <a:extLst>
            <a:ext uri="{FF2B5EF4-FFF2-40B4-BE49-F238E27FC236}">
              <a16:creationId xmlns:a16="http://schemas.microsoft.com/office/drawing/2014/main" id="{FF28BBD7-A456-B863-3ACA-3B8476C2B2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192505</xdr:colOff>
      <xdr:row>19</xdr:row>
      <xdr:rowOff>19385</xdr:rowOff>
    </xdr:from>
    <xdr:to>
      <xdr:col>20</xdr:col>
      <xdr:colOff>173454</xdr:colOff>
      <xdr:row>32</xdr:row>
      <xdr:rowOff>44785</xdr:rowOff>
    </xdr:to>
    <xdr:sp macro="" textlink="">
      <xdr:nvSpPr>
        <xdr:cNvPr id="3" name="CuadroTexto 2">
          <a:extLst>
            <a:ext uri="{FF2B5EF4-FFF2-40B4-BE49-F238E27FC236}">
              <a16:creationId xmlns:a16="http://schemas.microsoft.com/office/drawing/2014/main" id="{0D5B2BA7-B931-96A6-280B-1448C1A87748}"/>
            </a:ext>
          </a:extLst>
        </xdr:cNvPr>
        <xdr:cNvSpPr txBox="1"/>
      </xdr:nvSpPr>
      <xdr:spPr>
        <a:xfrm>
          <a:off x="8556123" y="3511885"/>
          <a:ext cx="6823910" cy="241500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 sz="1100"/>
            <a:t>Comparación</a:t>
          </a:r>
          <a:r>
            <a:rPr lang="es-ES" sz="1100" baseline="0"/>
            <a:t> de todos los experimentos realizados con 25 ppm durante 4 horas</a:t>
          </a:r>
        </a:p>
        <a:p>
          <a:pPr algn="l"/>
          <a:r>
            <a:rPr lang="es-ES" sz="1100" baseline="0"/>
            <a:t>- El experimento con OA y fibra de MOF-Fe inicialmente va más rápido y es más efectivo pero llega un momento que se estabiliza y no es capaz de degradar más (línea gris). Se acaba igualando al Control de OA (línea naranja)</a:t>
          </a:r>
        </a:p>
        <a:p>
          <a:pPr lvl="0" algn="l"/>
          <a:r>
            <a:rPr lang="es-ES" sz="1100" baseline="0"/>
            <a:t>- En este caso si que se consigue una degradación total del SMX en el experimento AA que no se conseguía en ningun experimento con 10 ppm. Este experimento es el que tiene todo funcionando a la vez (FOTO+OA+fibra MOF-Fe y fibra g-C3N4). Se ve el efecto conjunto de todo el sistema desde el inicio (línea azul)</a:t>
          </a:r>
        </a:p>
        <a:p>
          <a:pPr algn="l"/>
          <a:r>
            <a:rPr lang="es-ES" sz="1100" baseline="0"/>
            <a:t>- En cuanto a la prueba que se hizo de hacer el experimento en dos etapas (línea verde), es decir una primera etapa de 2 horas con solo OA y la fibra de MOF-Fe y una segunda etapa de 2 horas a continuación de la anterior de solo FOTO con la fibra de g-C3N4 los resultados no son tan buenos. No se alcanza la degradación total del SMX.</a:t>
          </a:r>
        </a:p>
        <a:p>
          <a:pPr algn="l"/>
          <a:endParaRPr lang="es-ES" sz="1100" baseline="0"/>
        </a:p>
        <a:p>
          <a:pPr algn="l"/>
          <a:r>
            <a:rPr lang="es-ES" sz="1100" baseline="0"/>
            <a:t>*** Se podría probar a poner una primera etapa de dos horas de OA con la fibra de MOF-Fe durante dos horas y una vez pasadas las dos horas poner a funcionar el sistema de FOTO pero sin quitar el OA. Es decir las dos primeras horas solo OA con la fibra de MOF-Fe y las dos ultimas horas con TODO.</a:t>
          </a:r>
        </a:p>
        <a:p>
          <a:endParaRPr lang="es-ES" sz="1100" baseline="0"/>
        </a:p>
        <a:p>
          <a:endParaRPr lang="es-ES" sz="1100" baseline="0"/>
        </a:p>
        <a:p>
          <a:endParaRPr lang="es-ES" sz="1100"/>
        </a:p>
      </xdr:txBody>
    </xdr:sp>
    <xdr:clientData/>
  </xdr:twoCellAnchor>
  <xdr:twoCellAnchor>
    <xdr:from>
      <xdr:col>19</xdr:col>
      <xdr:colOff>463898</xdr:colOff>
      <xdr:row>0</xdr:row>
      <xdr:rowOff>147665</xdr:rowOff>
    </xdr:from>
    <xdr:to>
      <xdr:col>28</xdr:col>
      <xdr:colOff>619040</xdr:colOff>
      <xdr:row>17</xdr:row>
      <xdr:rowOff>124866</xdr:rowOff>
    </xdr:to>
    <xdr:graphicFrame macro="">
      <xdr:nvGraphicFramePr>
        <xdr:cNvPr id="4" name="Gráfico 3">
          <a:extLst>
            <a:ext uri="{FF2B5EF4-FFF2-40B4-BE49-F238E27FC236}">
              <a16:creationId xmlns:a16="http://schemas.microsoft.com/office/drawing/2014/main" id="{5250CAA5-4459-41E6-9738-CDBADC911E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2532</xdr:colOff>
      <xdr:row>19</xdr:row>
      <xdr:rowOff>16710</xdr:rowOff>
    </xdr:from>
    <xdr:to>
      <xdr:col>10</xdr:col>
      <xdr:colOff>137230</xdr:colOff>
      <xdr:row>22</xdr:row>
      <xdr:rowOff>180270</xdr:rowOff>
    </xdr:to>
    <xdr:sp macro="" textlink="">
      <xdr:nvSpPr>
        <xdr:cNvPr id="5" name="CuadroTexto 4">
          <a:extLst>
            <a:ext uri="{FF2B5EF4-FFF2-40B4-BE49-F238E27FC236}">
              <a16:creationId xmlns:a16="http://schemas.microsoft.com/office/drawing/2014/main" id="{E1968736-CF8B-5176-A809-23BF0EF6FDBE}"/>
            </a:ext>
          </a:extLst>
        </xdr:cNvPr>
        <xdr:cNvSpPr txBox="1"/>
      </xdr:nvSpPr>
      <xdr:spPr>
        <a:xfrm>
          <a:off x="762861" y="3509210"/>
          <a:ext cx="6977658" cy="7150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Experimentos realizados con 10 ppm de SMX durante una hora y media</a:t>
          </a:r>
        </a:p>
      </xdr:txBody>
    </xdr:sp>
    <xdr:clientData/>
  </xdr:twoCellAnchor>
  <xdr:twoCellAnchor>
    <xdr:from>
      <xdr:col>23</xdr:col>
      <xdr:colOff>640103</xdr:colOff>
      <xdr:row>1</xdr:row>
      <xdr:rowOff>41462</xdr:rowOff>
    </xdr:from>
    <xdr:to>
      <xdr:col>32</xdr:col>
      <xdr:colOff>294700</xdr:colOff>
      <xdr:row>17</xdr:row>
      <xdr:rowOff>180291</xdr:rowOff>
    </xdr:to>
    <xdr:graphicFrame macro="">
      <xdr:nvGraphicFramePr>
        <xdr:cNvPr id="6" name="Gráfico 5">
          <a:extLst>
            <a:ext uri="{FF2B5EF4-FFF2-40B4-BE49-F238E27FC236}">
              <a16:creationId xmlns:a16="http://schemas.microsoft.com/office/drawing/2014/main" id="{03E5892C-13C3-8FD1-082C-EF01A89511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505853</xdr:colOff>
      <xdr:row>19</xdr:row>
      <xdr:rowOff>10360</xdr:rowOff>
    </xdr:from>
    <xdr:to>
      <xdr:col>30</xdr:col>
      <xdr:colOff>192171</xdr:colOff>
      <xdr:row>22</xdr:row>
      <xdr:rowOff>173920</xdr:rowOff>
    </xdr:to>
    <xdr:sp macro="" textlink="">
      <xdr:nvSpPr>
        <xdr:cNvPr id="7" name="CuadroTexto 6">
          <a:extLst>
            <a:ext uri="{FF2B5EF4-FFF2-40B4-BE49-F238E27FC236}">
              <a16:creationId xmlns:a16="http://schemas.microsoft.com/office/drawing/2014/main" id="{77001948-987D-4143-B52C-91731657AC7B}"/>
            </a:ext>
          </a:extLst>
        </xdr:cNvPr>
        <xdr:cNvSpPr txBox="1"/>
      </xdr:nvSpPr>
      <xdr:spPr>
        <a:xfrm>
          <a:off x="16472761" y="3502860"/>
          <a:ext cx="6529278" cy="7150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a:t>Experimentos realizados con 50 ppm</a:t>
          </a:r>
        </a:p>
        <a:p>
          <a:r>
            <a:rPr lang="es-ES" sz="1100"/>
            <a:t>El</a:t>
          </a:r>
          <a:r>
            <a:rPr lang="es-ES" sz="1100" baseline="0"/>
            <a:t> experimento realizado con todo (Foto + Electro + fibras) da practicamente igual que el electrofenton (Electro + fibra MOF-Fe). No se aprecia el efecto de la parte FOTO.</a:t>
          </a:r>
          <a:endParaRPr lang="es-ES" sz="1100"/>
        </a:p>
      </xdr:txBody>
    </xdr:sp>
    <xdr:clientData/>
  </xdr:twoCellAnchor>
  <xdr:twoCellAnchor>
    <xdr:from>
      <xdr:col>12</xdr:col>
      <xdr:colOff>451184</xdr:colOff>
      <xdr:row>34</xdr:row>
      <xdr:rowOff>175460</xdr:rowOff>
    </xdr:from>
    <xdr:to>
      <xdr:col>21</xdr:col>
      <xdr:colOff>463883</xdr:colOff>
      <xdr:row>51</xdr:row>
      <xdr:rowOff>164825</xdr:rowOff>
    </xdr:to>
    <xdr:graphicFrame macro="">
      <xdr:nvGraphicFramePr>
        <xdr:cNvPr id="9" name="Gráfico 8">
          <a:extLst>
            <a:ext uri="{FF2B5EF4-FFF2-40B4-BE49-F238E27FC236}">
              <a16:creationId xmlns:a16="http://schemas.microsoft.com/office/drawing/2014/main" id="{56E8ADE3-1EAD-4D27-A68A-215675B118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8355</xdr:colOff>
      <xdr:row>34</xdr:row>
      <xdr:rowOff>150394</xdr:rowOff>
    </xdr:from>
    <xdr:to>
      <xdr:col>30</xdr:col>
      <xdr:colOff>423281</xdr:colOff>
      <xdr:row>51</xdr:row>
      <xdr:rowOff>102864</xdr:rowOff>
    </xdr:to>
    <xdr:graphicFrame macro="">
      <xdr:nvGraphicFramePr>
        <xdr:cNvPr id="11" name="Gráfico 10">
          <a:extLst>
            <a:ext uri="{FF2B5EF4-FFF2-40B4-BE49-F238E27FC236}">
              <a16:creationId xmlns:a16="http://schemas.microsoft.com/office/drawing/2014/main" id="{FC54E03D-F74C-4D95-B837-20884B2170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82717</xdr:colOff>
      <xdr:row>34</xdr:row>
      <xdr:rowOff>132346</xdr:rowOff>
    </xdr:from>
    <xdr:to>
      <xdr:col>12</xdr:col>
      <xdr:colOff>208882</xdr:colOff>
      <xdr:row>51</xdr:row>
      <xdr:rowOff>167105</xdr:rowOff>
    </xdr:to>
    <xdr:graphicFrame macro="">
      <xdr:nvGraphicFramePr>
        <xdr:cNvPr id="12" name="Gráfico 11">
          <a:extLst>
            <a:ext uri="{FF2B5EF4-FFF2-40B4-BE49-F238E27FC236}">
              <a16:creationId xmlns:a16="http://schemas.microsoft.com/office/drawing/2014/main" id="{F0A2CAA7-5D9E-2745-2151-22116DD494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483153</xdr:colOff>
      <xdr:row>1</xdr:row>
      <xdr:rowOff>34510</xdr:rowOff>
    </xdr:from>
    <xdr:to>
      <xdr:col>10</xdr:col>
      <xdr:colOff>495853</xdr:colOff>
      <xdr:row>18</xdr:row>
      <xdr:rowOff>23875</xdr:rowOff>
    </xdr:to>
    <xdr:graphicFrame macro="">
      <xdr:nvGraphicFramePr>
        <xdr:cNvPr id="8" name="Gráfico 7">
          <a:extLst>
            <a:ext uri="{FF2B5EF4-FFF2-40B4-BE49-F238E27FC236}">
              <a16:creationId xmlns:a16="http://schemas.microsoft.com/office/drawing/2014/main" id="{E99E2D0E-DEDB-49C6-905D-72E2F7C635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179457</xdr:colOff>
      <xdr:row>1</xdr:row>
      <xdr:rowOff>48315</xdr:rowOff>
    </xdr:from>
    <xdr:to>
      <xdr:col>40</xdr:col>
      <xdr:colOff>192157</xdr:colOff>
      <xdr:row>18</xdr:row>
      <xdr:rowOff>37680</xdr:rowOff>
    </xdr:to>
    <xdr:graphicFrame macro="">
      <xdr:nvGraphicFramePr>
        <xdr:cNvPr id="10" name="Gráfico 9">
          <a:extLst>
            <a:ext uri="{FF2B5EF4-FFF2-40B4-BE49-F238E27FC236}">
              <a16:creationId xmlns:a16="http://schemas.microsoft.com/office/drawing/2014/main" id="{F96C6D91-DA55-4F92-9C10-C4524977FD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102150</xdr:colOff>
      <xdr:row>54</xdr:row>
      <xdr:rowOff>150330</xdr:rowOff>
    </xdr:from>
    <xdr:to>
      <xdr:col>28</xdr:col>
      <xdr:colOff>517661</xdr:colOff>
      <xdr:row>72</xdr:row>
      <xdr:rowOff>75924</xdr:rowOff>
    </xdr:to>
    <xdr:graphicFrame macro="">
      <xdr:nvGraphicFramePr>
        <xdr:cNvPr id="13" name="Gráfico 12">
          <a:extLst>
            <a:ext uri="{FF2B5EF4-FFF2-40B4-BE49-F238E27FC236}">
              <a16:creationId xmlns:a16="http://schemas.microsoft.com/office/drawing/2014/main" id="{2EFE5933-1F02-6425-5044-82DB90FDF12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731630</xdr:colOff>
      <xdr:row>54</xdr:row>
      <xdr:rowOff>172554</xdr:rowOff>
    </xdr:from>
    <xdr:to>
      <xdr:col>10</xdr:col>
      <xdr:colOff>387902</xdr:colOff>
      <xdr:row>72</xdr:row>
      <xdr:rowOff>98148</xdr:rowOff>
    </xdr:to>
    <xdr:graphicFrame macro="">
      <xdr:nvGraphicFramePr>
        <xdr:cNvPr id="14" name="Gráfico 13">
          <a:extLst>
            <a:ext uri="{FF2B5EF4-FFF2-40B4-BE49-F238E27FC236}">
              <a16:creationId xmlns:a16="http://schemas.microsoft.com/office/drawing/2014/main" id="{076C77C1-33A6-4DED-B2A0-842AA6A126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11</xdr:col>
      <xdr:colOff>13805</xdr:colOff>
      <xdr:row>54</xdr:row>
      <xdr:rowOff>144945</xdr:rowOff>
    </xdr:from>
    <xdr:to>
      <xdr:col>19</xdr:col>
      <xdr:colOff>429316</xdr:colOff>
      <xdr:row>72</xdr:row>
      <xdr:rowOff>70539</xdr:rowOff>
    </xdr:to>
    <xdr:graphicFrame macro="">
      <xdr:nvGraphicFramePr>
        <xdr:cNvPr id="15" name="Gráfico 14">
          <a:extLst>
            <a:ext uri="{FF2B5EF4-FFF2-40B4-BE49-F238E27FC236}">
              <a16:creationId xmlns:a16="http://schemas.microsoft.com/office/drawing/2014/main" id="{C999B34C-1DB4-4508-A638-E74576E8ED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29</xdr:col>
      <xdr:colOff>241576</xdr:colOff>
      <xdr:row>54</xdr:row>
      <xdr:rowOff>172554</xdr:rowOff>
    </xdr:from>
    <xdr:to>
      <xdr:col>37</xdr:col>
      <xdr:colOff>657087</xdr:colOff>
      <xdr:row>72</xdr:row>
      <xdr:rowOff>98148</xdr:rowOff>
    </xdr:to>
    <xdr:graphicFrame macro="">
      <xdr:nvGraphicFramePr>
        <xdr:cNvPr id="16" name="Gráfico 15">
          <a:extLst>
            <a:ext uri="{FF2B5EF4-FFF2-40B4-BE49-F238E27FC236}">
              <a16:creationId xmlns:a16="http://schemas.microsoft.com/office/drawing/2014/main" id="{A6375A5F-FDF7-4757-8E80-DADAB8900D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744055</xdr:colOff>
      <xdr:row>73</xdr:row>
      <xdr:rowOff>102013</xdr:rowOff>
    </xdr:from>
    <xdr:to>
      <xdr:col>10</xdr:col>
      <xdr:colOff>434837</xdr:colOff>
      <xdr:row>88</xdr:row>
      <xdr:rowOff>96630</xdr:rowOff>
    </xdr:to>
    <xdr:graphicFrame macro="">
      <xdr:nvGraphicFramePr>
        <xdr:cNvPr id="17" name="Gráfico 16">
          <a:extLst>
            <a:ext uri="{FF2B5EF4-FFF2-40B4-BE49-F238E27FC236}">
              <a16:creationId xmlns:a16="http://schemas.microsoft.com/office/drawing/2014/main" id="{9E6F5C61-B5C0-3E82-4C16-221EE3AC77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11</xdr:col>
      <xdr:colOff>6903</xdr:colOff>
      <xdr:row>73</xdr:row>
      <xdr:rowOff>131141</xdr:rowOff>
    </xdr:from>
    <xdr:to>
      <xdr:col>19</xdr:col>
      <xdr:colOff>456924</xdr:colOff>
      <xdr:row>88</xdr:row>
      <xdr:rowOff>125758</xdr:rowOff>
    </xdr:to>
    <xdr:graphicFrame macro="">
      <xdr:nvGraphicFramePr>
        <xdr:cNvPr id="18" name="Gráfico 17">
          <a:extLst>
            <a:ext uri="{FF2B5EF4-FFF2-40B4-BE49-F238E27FC236}">
              <a16:creationId xmlns:a16="http://schemas.microsoft.com/office/drawing/2014/main" id="{D8EB61B2-E641-437B-AC84-0247D0D1EF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29</xdr:col>
      <xdr:colOff>158750</xdr:colOff>
      <xdr:row>74</xdr:row>
      <xdr:rowOff>6903</xdr:rowOff>
    </xdr:from>
    <xdr:to>
      <xdr:col>37</xdr:col>
      <xdr:colOff>608771</xdr:colOff>
      <xdr:row>89</xdr:row>
      <xdr:rowOff>1519</xdr:rowOff>
    </xdr:to>
    <xdr:graphicFrame macro="">
      <xdr:nvGraphicFramePr>
        <xdr:cNvPr id="19" name="Gráfico 18">
          <a:extLst>
            <a:ext uri="{FF2B5EF4-FFF2-40B4-BE49-F238E27FC236}">
              <a16:creationId xmlns:a16="http://schemas.microsoft.com/office/drawing/2014/main" id="{D6EA7FB1-A32C-420E-BE9B-B7267EEED5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1</xdr:col>
      <xdr:colOff>15874</xdr:colOff>
      <xdr:row>2</xdr:row>
      <xdr:rowOff>19050</xdr:rowOff>
    </xdr:from>
    <xdr:to>
      <xdr:col>8</xdr:col>
      <xdr:colOff>628650</xdr:colOff>
      <xdr:row>18</xdr:row>
      <xdr:rowOff>152400</xdr:rowOff>
    </xdr:to>
    <xdr:graphicFrame macro="">
      <xdr:nvGraphicFramePr>
        <xdr:cNvPr id="2" name="Gráfico 1">
          <a:extLst>
            <a:ext uri="{FF2B5EF4-FFF2-40B4-BE49-F238E27FC236}">
              <a16:creationId xmlns:a16="http://schemas.microsoft.com/office/drawing/2014/main" id="{C677076E-392C-1A4D-0536-AB7BEB6915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352425</xdr:colOff>
      <xdr:row>2</xdr:row>
      <xdr:rowOff>6350</xdr:rowOff>
    </xdr:from>
    <xdr:to>
      <xdr:col>16</xdr:col>
      <xdr:colOff>438151</xdr:colOff>
      <xdr:row>18</xdr:row>
      <xdr:rowOff>120650</xdr:rowOff>
    </xdr:to>
    <xdr:graphicFrame macro="">
      <xdr:nvGraphicFramePr>
        <xdr:cNvPr id="3" name="Gráfico 2">
          <a:extLst>
            <a:ext uri="{FF2B5EF4-FFF2-40B4-BE49-F238E27FC236}">
              <a16:creationId xmlns:a16="http://schemas.microsoft.com/office/drawing/2014/main" id="{2FD84A58-EFFA-E165-CCBC-D0FFB7BC73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717550</xdr:colOff>
      <xdr:row>1</xdr:row>
      <xdr:rowOff>177800</xdr:rowOff>
    </xdr:from>
    <xdr:to>
      <xdr:col>24</xdr:col>
      <xdr:colOff>41276</xdr:colOff>
      <xdr:row>18</xdr:row>
      <xdr:rowOff>107950</xdr:rowOff>
    </xdr:to>
    <xdr:graphicFrame macro="">
      <xdr:nvGraphicFramePr>
        <xdr:cNvPr id="4" name="Gráfico 3">
          <a:extLst>
            <a:ext uri="{FF2B5EF4-FFF2-40B4-BE49-F238E27FC236}">
              <a16:creationId xmlns:a16="http://schemas.microsoft.com/office/drawing/2014/main" id="{5E90BBE6-44CD-4A39-8B0D-3A308FC304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0</xdr:col>
      <xdr:colOff>685800</xdr:colOff>
      <xdr:row>5</xdr:row>
      <xdr:rowOff>12700</xdr:rowOff>
    </xdr:from>
    <xdr:to>
      <xdr:col>7</xdr:col>
      <xdr:colOff>752475</xdr:colOff>
      <xdr:row>20</xdr:row>
      <xdr:rowOff>44450</xdr:rowOff>
    </xdr:to>
    <xdr:graphicFrame macro="">
      <xdr:nvGraphicFramePr>
        <xdr:cNvPr id="2" name="Gráfico 1">
          <a:extLst>
            <a:ext uri="{FF2B5EF4-FFF2-40B4-BE49-F238E27FC236}">
              <a16:creationId xmlns:a16="http://schemas.microsoft.com/office/drawing/2014/main" id="{95A02B34-9A22-5AB0-DF40-C1E5425AEA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479424</xdr:colOff>
      <xdr:row>4</xdr:row>
      <xdr:rowOff>171450</xdr:rowOff>
    </xdr:from>
    <xdr:to>
      <xdr:col>15</xdr:col>
      <xdr:colOff>546100</xdr:colOff>
      <xdr:row>20</xdr:row>
      <xdr:rowOff>69850</xdr:rowOff>
    </xdr:to>
    <xdr:graphicFrame macro="">
      <xdr:nvGraphicFramePr>
        <xdr:cNvPr id="3" name="Gráfico 2">
          <a:extLst>
            <a:ext uri="{FF2B5EF4-FFF2-40B4-BE49-F238E27FC236}">
              <a16:creationId xmlns:a16="http://schemas.microsoft.com/office/drawing/2014/main" id="{BEB92AE4-4E08-718D-0D5C-51BD11E56CC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657224</xdr:colOff>
      <xdr:row>21</xdr:row>
      <xdr:rowOff>82550</xdr:rowOff>
    </xdr:from>
    <xdr:to>
      <xdr:col>7</xdr:col>
      <xdr:colOff>749299</xdr:colOff>
      <xdr:row>36</xdr:row>
      <xdr:rowOff>107950</xdr:rowOff>
    </xdr:to>
    <xdr:graphicFrame macro="">
      <xdr:nvGraphicFramePr>
        <xdr:cNvPr id="4" name="Gráfico 3">
          <a:extLst>
            <a:ext uri="{FF2B5EF4-FFF2-40B4-BE49-F238E27FC236}">
              <a16:creationId xmlns:a16="http://schemas.microsoft.com/office/drawing/2014/main" id="{612B393B-0F1A-9ADA-2574-8D2FCF508A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133351</xdr:colOff>
      <xdr:row>22</xdr:row>
      <xdr:rowOff>0</xdr:rowOff>
    </xdr:from>
    <xdr:to>
      <xdr:col>15</xdr:col>
      <xdr:colOff>76200</xdr:colOff>
      <xdr:row>37</xdr:row>
      <xdr:rowOff>19050</xdr:rowOff>
    </xdr:to>
    <xdr:graphicFrame macro="">
      <xdr:nvGraphicFramePr>
        <xdr:cNvPr id="5" name="Gráfico 4">
          <a:extLst>
            <a:ext uri="{FF2B5EF4-FFF2-40B4-BE49-F238E27FC236}">
              <a16:creationId xmlns:a16="http://schemas.microsoft.com/office/drawing/2014/main" id="{DD880642-E873-EB58-FEE0-BF2274C0F5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85724</xdr:colOff>
      <xdr:row>22</xdr:row>
      <xdr:rowOff>114300</xdr:rowOff>
    </xdr:from>
    <xdr:to>
      <xdr:col>22</xdr:col>
      <xdr:colOff>292100</xdr:colOff>
      <xdr:row>37</xdr:row>
      <xdr:rowOff>139700</xdr:rowOff>
    </xdr:to>
    <xdr:graphicFrame macro="">
      <xdr:nvGraphicFramePr>
        <xdr:cNvPr id="6" name="Gráfico 5">
          <a:extLst>
            <a:ext uri="{FF2B5EF4-FFF2-40B4-BE49-F238E27FC236}">
              <a16:creationId xmlns:a16="http://schemas.microsoft.com/office/drawing/2014/main" id="{66BBF65F-10EE-8445-ACBC-6B26CF9D65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600075</xdr:colOff>
      <xdr:row>39</xdr:row>
      <xdr:rowOff>158750</xdr:rowOff>
    </xdr:from>
    <xdr:to>
      <xdr:col>6</xdr:col>
      <xdr:colOff>600075</xdr:colOff>
      <xdr:row>54</xdr:row>
      <xdr:rowOff>139700</xdr:rowOff>
    </xdr:to>
    <xdr:graphicFrame macro="">
      <xdr:nvGraphicFramePr>
        <xdr:cNvPr id="7" name="Gráfico 6">
          <a:extLst>
            <a:ext uri="{FF2B5EF4-FFF2-40B4-BE49-F238E27FC236}">
              <a16:creationId xmlns:a16="http://schemas.microsoft.com/office/drawing/2014/main" id="{EC1FB4BD-02CB-F208-C28E-2EA71E4434A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111124</xdr:colOff>
      <xdr:row>40</xdr:row>
      <xdr:rowOff>19050</xdr:rowOff>
    </xdr:from>
    <xdr:to>
      <xdr:col>14</xdr:col>
      <xdr:colOff>666749</xdr:colOff>
      <xdr:row>54</xdr:row>
      <xdr:rowOff>127000</xdr:rowOff>
    </xdr:to>
    <xdr:graphicFrame macro="">
      <xdr:nvGraphicFramePr>
        <xdr:cNvPr id="8" name="Gráfico 7">
          <a:extLst>
            <a:ext uri="{FF2B5EF4-FFF2-40B4-BE49-F238E27FC236}">
              <a16:creationId xmlns:a16="http://schemas.microsoft.com/office/drawing/2014/main" id="{C208C550-B269-9A27-560C-A0F71FA2F7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635000</xdr:colOff>
      <xdr:row>42</xdr:row>
      <xdr:rowOff>158750</xdr:rowOff>
    </xdr:from>
    <xdr:to>
      <xdr:col>26</xdr:col>
      <xdr:colOff>615950</xdr:colOff>
      <xdr:row>64</xdr:row>
      <xdr:rowOff>82550</xdr:rowOff>
    </xdr:to>
    <xdr:graphicFrame macro="">
      <xdr:nvGraphicFramePr>
        <xdr:cNvPr id="9" name="Gráfico 8">
          <a:extLst>
            <a:ext uri="{FF2B5EF4-FFF2-40B4-BE49-F238E27FC236}">
              <a16:creationId xmlns:a16="http://schemas.microsoft.com/office/drawing/2014/main" id="{32125A33-734B-4B08-B692-44C558C27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215900</xdr:colOff>
      <xdr:row>3</xdr:row>
      <xdr:rowOff>69850</xdr:rowOff>
    </xdr:from>
    <xdr:to>
      <xdr:col>25</xdr:col>
      <xdr:colOff>158750</xdr:colOff>
      <xdr:row>22</xdr:row>
      <xdr:rowOff>25400</xdr:rowOff>
    </xdr:to>
    <xdr:graphicFrame macro="">
      <xdr:nvGraphicFramePr>
        <xdr:cNvPr id="10" name="Gráfico 9">
          <a:extLst>
            <a:ext uri="{FF2B5EF4-FFF2-40B4-BE49-F238E27FC236}">
              <a16:creationId xmlns:a16="http://schemas.microsoft.com/office/drawing/2014/main" id="{67A91BB3-C9B9-4E89-9851-4FC70C78E9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123824</xdr:colOff>
      <xdr:row>23</xdr:row>
      <xdr:rowOff>76200</xdr:rowOff>
    </xdr:from>
    <xdr:to>
      <xdr:col>15</xdr:col>
      <xdr:colOff>177799</xdr:colOff>
      <xdr:row>44</xdr:row>
      <xdr:rowOff>50800</xdr:rowOff>
    </xdr:to>
    <xdr:graphicFrame macro="">
      <xdr:nvGraphicFramePr>
        <xdr:cNvPr id="2" name="Gráfico 1">
          <a:extLst>
            <a:ext uri="{FF2B5EF4-FFF2-40B4-BE49-F238E27FC236}">
              <a16:creationId xmlns:a16="http://schemas.microsoft.com/office/drawing/2014/main" id="{C1F30825-5687-4EE6-BA14-5595EA0E71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4535</xdr:colOff>
      <xdr:row>22</xdr:row>
      <xdr:rowOff>2721</xdr:rowOff>
    </xdr:from>
    <xdr:to>
      <xdr:col>4</xdr:col>
      <xdr:colOff>122464</xdr:colOff>
      <xdr:row>37</xdr:row>
      <xdr:rowOff>24493</xdr:rowOff>
    </xdr:to>
    <xdr:graphicFrame macro="">
      <xdr:nvGraphicFramePr>
        <xdr:cNvPr id="2" name="Gráfico 1">
          <a:extLst>
            <a:ext uri="{FF2B5EF4-FFF2-40B4-BE49-F238E27FC236}">
              <a16:creationId xmlns:a16="http://schemas.microsoft.com/office/drawing/2014/main" id="{E5C305D4-2799-4A04-95C9-C71565EE48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503465</xdr:colOff>
      <xdr:row>22</xdr:row>
      <xdr:rowOff>2720</xdr:rowOff>
    </xdr:from>
    <xdr:to>
      <xdr:col>7</xdr:col>
      <xdr:colOff>612322</xdr:colOff>
      <xdr:row>37</xdr:row>
      <xdr:rowOff>24492</xdr:rowOff>
    </xdr:to>
    <xdr:graphicFrame macro="">
      <xdr:nvGraphicFramePr>
        <xdr:cNvPr id="3" name="Gráfico 2">
          <a:extLst>
            <a:ext uri="{FF2B5EF4-FFF2-40B4-BE49-F238E27FC236}">
              <a16:creationId xmlns:a16="http://schemas.microsoft.com/office/drawing/2014/main" id="{5DF4266A-AC16-42DD-9FC5-B2592668A4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21</xdr:row>
      <xdr:rowOff>6350</xdr:rowOff>
    </xdr:from>
    <xdr:to>
      <xdr:col>4</xdr:col>
      <xdr:colOff>120650</xdr:colOff>
      <xdr:row>35</xdr:row>
      <xdr:rowOff>171450</xdr:rowOff>
    </xdr:to>
    <xdr:graphicFrame macro="">
      <xdr:nvGraphicFramePr>
        <xdr:cNvPr id="2" name="Gráfico 1">
          <a:extLst>
            <a:ext uri="{FF2B5EF4-FFF2-40B4-BE49-F238E27FC236}">
              <a16:creationId xmlns:a16="http://schemas.microsoft.com/office/drawing/2014/main" id="{CFAF7185-A933-4C70-8AF2-9FBA73CDAD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422275</xdr:colOff>
      <xdr:row>21</xdr:row>
      <xdr:rowOff>0</xdr:rowOff>
    </xdr:from>
    <xdr:to>
      <xdr:col>7</xdr:col>
      <xdr:colOff>530225</xdr:colOff>
      <xdr:row>35</xdr:row>
      <xdr:rowOff>165100</xdr:rowOff>
    </xdr:to>
    <xdr:graphicFrame macro="">
      <xdr:nvGraphicFramePr>
        <xdr:cNvPr id="3" name="Gráfico 2">
          <a:extLst>
            <a:ext uri="{FF2B5EF4-FFF2-40B4-BE49-F238E27FC236}">
              <a16:creationId xmlns:a16="http://schemas.microsoft.com/office/drawing/2014/main" id="{CD08CDA1-5015-447F-8E2D-0A48E0A550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92075</xdr:colOff>
      <xdr:row>22</xdr:row>
      <xdr:rowOff>19050</xdr:rowOff>
    </xdr:from>
    <xdr:to>
      <xdr:col>4</xdr:col>
      <xdr:colOff>212725</xdr:colOff>
      <xdr:row>37</xdr:row>
      <xdr:rowOff>0</xdr:rowOff>
    </xdr:to>
    <xdr:graphicFrame macro="">
      <xdr:nvGraphicFramePr>
        <xdr:cNvPr id="2" name="Gráfico 1">
          <a:extLst>
            <a:ext uri="{FF2B5EF4-FFF2-40B4-BE49-F238E27FC236}">
              <a16:creationId xmlns:a16="http://schemas.microsoft.com/office/drawing/2014/main" id="{35E548E6-7826-4516-A0F3-85D3CDAA3A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631825</xdr:colOff>
      <xdr:row>22</xdr:row>
      <xdr:rowOff>0</xdr:rowOff>
    </xdr:from>
    <xdr:to>
      <xdr:col>7</xdr:col>
      <xdr:colOff>739775</xdr:colOff>
      <xdr:row>36</xdr:row>
      <xdr:rowOff>165100</xdr:rowOff>
    </xdr:to>
    <xdr:graphicFrame macro="">
      <xdr:nvGraphicFramePr>
        <xdr:cNvPr id="3" name="Gráfico 2">
          <a:extLst>
            <a:ext uri="{FF2B5EF4-FFF2-40B4-BE49-F238E27FC236}">
              <a16:creationId xmlns:a16="http://schemas.microsoft.com/office/drawing/2014/main" id="{6BEB5A20-1AA8-4319-90B2-D8D8ED80FC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937433</xdr:colOff>
      <xdr:row>21</xdr:row>
      <xdr:rowOff>162086</xdr:rowOff>
    </xdr:from>
    <xdr:to>
      <xdr:col>11</xdr:col>
      <xdr:colOff>580111</xdr:colOff>
      <xdr:row>36</xdr:row>
      <xdr:rowOff>160795</xdr:rowOff>
    </xdr:to>
    <xdr:graphicFrame macro="">
      <xdr:nvGraphicFramePr>
        <xdr:cNvPr id="4" name="Gráfico 3">
          <a:extLst>
            <a:ext uri="{FF2B5EF4-FFF2-40B4-BE49-F238E27FC236}">
              <a16:creationId xmlns:a16="http://schemas.microsoft.com/office/drawing/2014/main" id="{4D0594DA-E2B4-9B80-5412-F23F7A6414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625313</xdr:colOff>
      <xdr:row>22</xdr:row>
      <xdr:rowOff>646</xdr:rowOff>
    </xdr:from>
    <xdr:to>
      <xdr:col>17</xdr:col>
      <xdr:colOff>612398</xdr:colOff>
      <xdr:row>36</xdr:row>
      <xdr:rowOff>182321</xdr:rowOff>
    </xdr:to>
    <xdr:graphicFrame macro="">
      <xdr:nvGraphicFramePr>
        <xdr:cNvPr id="5" name="Gráfico 4">
          <a:extLst>
            <a:ext uri="{FF2B5EF4-FFF2-40B4-BE49-F238E27FC236}">
              <a16:creationId xmlns:a16="http://schemas.microsoft.com/office/drawing/2014/main" id="{AF20F9FE-1147-73BD-5766-B6D14CE99AF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722178</xdr:colOff>
      <xdr:row>22</xdr:row>
      <xdr:rowOff>32934</xdr:rowOff>
    </xdr:from>
    <xdr:to>
      <xdr:col>23</xdr:col>
      <xdr:colOff>709263</xdr:colOff>
      <xdr:row>37</xdr:row>
      <xdr:rowOff>31642</xdr:rowOff>
    </xdr:to>
    <xdr:graphicFrame macro="">
      <xdr:nvGraphicFramePr>
        <xdr:cNvPr id="6" name="Gráfico 5">
          <a:extLst>
            <a:ext uri="{FF2B5EF4-FFF2-40B4-BE49-F238E27FC236}">
              <a16:creationId xmlns:a16="http://schemas.microsoft.com/office/drawing/2014/main" id="{5265F7CF-50B6-4FC5-4E4D-7B32EEE146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1561238</xdr:colOff>
      <xdr:row>71</xdr:row>
      <xdr:rowOff>7559</xdr:rowOff>
    </xdr:from>
    <xdr:to>
      <xdr:col>8</xdr:col>
      <xdr:colOff>845267</xdr:colOff>
      <xdr:row>86</xdr:row>
      <xdr:rowOff>139677</xdr:rowOff>
    </xdr:to>
    <xdr:graphicFrame macro="">
      <xdr:nvGraphicFramePr>
        <xdr:cNvPr id="2" name="Gráfico 1">
          <a:extLst>
            <a:ext uri="{FF2B5EF4-FFF2-40B4-BE49-F238E27FC236}">
              <a16:creationId xmlns:a16="http://schemas.microsoft.com/office/drawing/2014/main" id="{E21F1ECC-CD82-4164-B37E-E874D2B34B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755953</xdr:colOff>
      <xdr:row>70</xdr:row>
      <xdr:rowOff>173868</xdr:rowOff>
    </xdr:from>
    <xdr:to>
      <xdr:col>4</xdr:col>
      <xdr:colOff>925285</xdr:colOff>
      <xdr:row>86</xdr:row>
      <xdr:rowOff>105832</xdr:rowOff>
    </xdr:to>
    <xdr:graphicFrame macro="">
      <xdr:nvGraphicFramePr>
        <xdr:cNvPr id="3" name="Gráfico 2">
          <a:extLst>
            <a:ext uri="{FF2B5EF4-FFF2-40B4-BE49-F238E27FC236}">
              <a16:creationId xmlns:a16="http://schemas.microsoft.com/office/drawing/2014/main" id="{4588C16D-2B41-4B4B-A73B-DE01523D90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756</xdr:colOff>
      <xdr:row>70</xdr:row>
      <xdr:rowOff>155424</xdr:rowOff>
    </xdr:from>
    <xdr:to>
      <xdr:col>16</xdr:col>
      <xdr:colOff>415774</xdr:colOff>
      <xdr:row>86</xdr:row>
      <xdr:rowOff>120953</xdr:rowOff>
    </xdr:to>
    <xdr:graphicFrame macro="">
      <xdr:nvGraphicFramePr>
        <xdr:cNvPr id="4" name="Gráfico 3">
          <a:extLst>
            <a:ext uri="{FF2B5EF4-FFF2-40B4-BE49-F238E27FC236}">
              <a16:creationId xmlns:a16="http://schemas.microsoft.com/office/drawing/2014/main" id="{4776AC4E-5053-431A-B3DA-24F227EC7C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3175</xdr:colOff>
      <xdr:row>23</xdr:row>
      <xdr:rowOff>6350</xdr:rowOff>
    </xdr:from>
    <xdr:to>
      <xdr:col>4</xdr:col>
      <xdr:colOff>174625</xdr:colOff>
      <xdr:row>36</xdr:row>
      <xdr:rowOff>88900</xdr:rowOff>
    </xdr:to>
    <xdr:graphicFrame macro="">
      <xdr:nvGraphicFramePr>
        <xdr:cNvPr id="5" name="Gráfico 4">
          <a:extLst>
            <a:ext uri="{FF2B5EF4-FFF2-40B4-BE49-F238E27FC236}">
              <a16:creationId xmlns:a16="http://schemas.microsoft.com/office/drawing/2014/main" id="{224241A4-EF64-464F-91CB-8444AD0909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587375</xdr:colOff>
      <xdr:row>23</xdr:row>
      <xdr:rowOff>12700</xdr:rowOff>
    </xdr:from>
    <xdr:to>
      <xdr:col>7</xdr:col>
      <xdr:colOff>542925</xdr:colOff>
      <xdr:row>36</xdr:row>
      <xdr:rowOff>95250</xdr:rowOff>
    </xdr:to>
    <xdr:graphicFrame macro="">
      <xdr:nvGraphicFramePr>
        <xdr:cNvPr id="6" name="Gráfico 5">
          <a:extLst>
            <a:ext uri="{FF2B5EF4-FFF2-40B4-BE49-F238E27FC236}">
              <a16:creationId xmlns:a16="http://schemas.microsoft.com/office/drawing/2014/main" id="{766431B9-1F71-462F-8B71-A75BB6B0C3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585109</xdr:colOff>
      <xdr:row>21</xdr:row>
      <xdr:rowOff>175078</xdr:rowOff>
    </xdr:from>
    <xdr:to>
      <xdr:col>7</xdr:col>
      <xdr:colOff>693966</xdr:colOff>
      <xdr:row>37</xdr:row>
      <xdr:rowOff>15421</xdr:rowOff>
    </xdr:to>
    <xdr:graphicFrame macro="">
      <xdr:nvGraphicFramePr>
        <xdr:cNvPr id="2" name="Gráfico 1">
          <a:extLst>
            <a:ext uri="{FF2B5EF4-FFF2-40B4-BE49-F238E27FC236}">
              <a16:creationId xmlns:a16="http://schemas.microsoft.com/office/drawing/2014/main" id="{37194C50-1280-4155-BE52-434ECD3DFD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757465</xdr:colOff>
      <xdr:row>22</xdr:row>
      <xdr:rowOff>2721</xdr:rowOff>
    </xdr:from>
    <xdr:to>
      <xdr:col>4</xdr:col>
      <xdr:colOff>113394</xdr:colOff>
      <xdr:row>37</xdr:row>
      <xdr:rowOff>24493</xdr:rowOff>
    </xdr:to>
    <xdr:graphicFrame macro="">
      <xdr:nvGraphicFramePr>
        <xdr:cNvPr id="3" name="Gráfico 2">
          <a:extLst>
            <a:ext uri="{FF2B5EF4-FFF2-40B4-BE49-F238E27FC236}">
              <a16:creationId xmlns:a16="http://schemas.microsoft.com/office/drawing/2014/main" id="{9C9EA7F4-E0EB-48D8-91CA-C9CF64707C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9B3F90C-B0E0-4DEF-A766-8566A2C0705E}" name="Tabla1" displayName="Tabla1" ref="B5:AF43" totalsRowShown="0" headerRowDxfId="32" dataDxfId="31">
  <autoFilter ref="B5:AF43" xr:uid="{59B3F90C-B0E0-4DEF-A766-8566A2C0705E}"/>
  <tableColumns count="31">
    <tableColumn id="1" xr3:uid="{F4A5FAA7-F318-4A1D-A29F-3F5F7594B298}" name="Experimento" dataDxfId="30"/>
    <tableColumn id="2" xr3:uid="{190E5CFE-011A-4C48-B64E-F495CF730292}" name="Tratamiento" dataDxfId="29"/>
    <tableColumn id="3" xr3:uid="{0A8EF4A8-F6A9-41A9-B2FB-53069C66E768}" name="Tipo" dataDxfId="28"/>
    <tableColumn id="4" xr3:uid="{AEA9A5D5-4CA1-45EC-AD0B-76076F610DCD}" name="Concentración SMX (ppm)" dataDxfId="27"/>
    <tableColumn id="5" xr3:uid="{7E40531A-79CE-4893-8E8C-41341EBB3D17}" name="Concentración ANT (ppm)" dataDxfId="26"/>
    <tableColumn id="6" xr3:uid="{B8F4F003-7B5D-49D5-9B94-6B2AE95A328D}" name="Concentración Na2SO4 (mM)" dataDxfId="25"/>
    <tableColumn id="7" xr3:uid="{EEF24010-89F9-43BC-AAF4-86752E280AED}" name="Tipo2" dataDxfId="24"/>
    <tableColumn id="8" xr3:uid="{0A6136FA-94E6-4AC9-8CD5-96CD24B5DC23}" name="Volumen (ml)" dataDxfId="23"/>
    <tableColumn id="9" xr3:uid="{FA39E257-5587-49D2-A536-30193D8492B2}" name="Ánodo" dataDxfId="22"/>
    <tableColumn id="10" xr3:uid="{5D73ED37-45D2-41B9-AF81-3717E3B44545}" name="Cátodo" dataDxfId="21"/>
    <tableColumn id="11" xr3:uid="{09A3BF82-23BD-4BD7-9B82-29CF1C15E780}" name="Voltaje (V)" dataDxfId="20"/>
    <tableColumn id="12" xr3:uid="{82CBC7AB-F196-42C4-BEAD-63F0A615B1F7}" name="Distancia entre electrodos (cm)" dataDxfId="19"/>
    <tableColumn id="13" xr3:uid="{236B69C4-1B22-4FF2-94C4-3DD2B51CE5D3}" name="Intensidad (mA)" dataDxfId="18"/>
    <tableColumn id="14" xr3:uid="{28142364-2DD3-49BD-AFFF-B41156591E7A}" name="Foto" dataDxfId="17"/>
    <tableColumn id="15" xr3:uid="{DF81DCC9-BFF4-430A-9F38-2AD7E40A3CBC}" name="Modelo" dataDxfId="16"/>
    <tableColumn id="16" xr3:uid="{C9ED7BB7-F632-4E2F-846E-307F85C4E932}" name="Aire" dataDxfId="15"/>
    <tableColumn id="17" xr3:uid="{842CFE88-442E-42B8-9018-C6068AA0BCD2}" name="Caudal (L/min)" dataDxfId="14"/>
    <tableColumn id="18" xr3:uid="{B0C0EB6B-C873-4AE6-9D28-2043488AD27B}" name="EQUIPO" dataDxfId="13"/>
    <tableColumn id="19" xr3:uid="{DD69EB60-F058-44CB-9683-252FEC79C520}" name="VELOCIDAD" dataDxfId="12"/>
    <tableColumn id="20" xr3:uid="{FF1B6F6A-3C26-409E-941A-0D85F0FA7BB5}" name="Fibra g-C3N4" dataDxfId="11"/>
    <tableColumn id="29" xr3:uid="{30476557-6373-4EFC-94C5-DFECC82F71B7}" name="Uso fibra g-C3N4" dataDxfId="10"/>
    <tableColumn id="21" xr3:uid="{3CBD094E-F07D-4C2C-9AEF-3362575A19A8}" name="Fibra MOF-Fe" dataDxfId="9"/>
    <tableColumn id="22" xr3:uid="{79B02F10-E252-4675-9186-6E0754EDBB5D}" name="Uso fibra MOF-Fe" dataDxfId="8"/>
    <tableColumn id="31" xr3:uid="{D16C55CB-83F7-457A-85E9-06CCB349BABC}" name="Fibra MOF-Fe + g-C3N4" dataDxfId="7"/>
    <tableColumn id="30" xr3:uid="{416426C0-B693-4181-B738-232C9F1E12B1}" name="Uso fibra MOF-Fe + g-C3N4" dataDxfId="6"/>
    <tableColumn id="23" xr3:uid="{6D09A298-82FD-407B-AAE3-12F9F7823554}" name="H2O2" dataDxfId="5"/>
    <tableColumn id="24" xr3:uid="{543FE025-1FCA-4080-A5D2-3FB2E2C5277F}" name="PMS" dataDxfId="4"/>
    <tableColumn id="25" xr3:uid="{1AF114E5-39EC-43E9-9243-9297DDF03541}" name="pHi" dataDxfId="3"/>
    <tableColumn id="26" xr3:uid="{812FE4C3-9FDD-435E-A021-ADB468242EE7}" name="pHf" dataDxfId="2"/>
    <tableColumn id="27" xr3:uid="{97F7A485-3862-4A84-8F10-90B604D00AA6}" name="Conductividadi" dataDxfId="1"/>
    <tableColumn id="28" xr3:uid="{A970C65A-1930-47F2-BFDF-99AC5CAE5A3D}" name="Conductividadf" dataDxfId="0"/>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2A102-D6A1-4B87-B58B-6533C0494CAD}">
  <dimension ref="B3:D20"/>
  <sheetViews>
    <sheetView workbookViewId="0">
      <selection activeCell="L7" sqref="L7"/>
    </sheetView>
  </sheetViews>
  <sheetFormatPr defaultColWidth="11.42578125" defaultRowHeight="15"/>
  <cols>
    <col min="3" max="3" width="19.85546875" customWidth="1"/>
  </cols>
  <sheetData>
    <row r="3" spans="2:4" ht="15.75">
      <c r="B3" s="112" t="s">
        <v>0</v>
      </c>
      <c r="C3" s="112"/>
      <c r="D3" s="112"/>
    </row>
    <row r="4" spans="2:4">
      <c r="B4" t="s">
        <v>1</v>
      </c>
    </row>
    <row r="5" spans="2:4" ht="15.75" thickBot="1"/>
    <row r="6" spans="2:4" ht="15.75" thickBot="1">
      <c r="B6" s="38" t="s">
        <v>2</v>
      </c>
      <c r="C6" s="39" t="s">
        <v>3</v>
      </c>
    </row>
    <row r="7" spans="2:4">
      <c r="B7" s="40">
        <v>115.3</v>
      </c>
      <c r="C7" s="41">
        <v>0.5</v>
      </c>
    </row>
    <row r="8" spans="2:4">
      <c r="B8" s="43">
        <v>232</v>
      </c>
      <c r="C8" s="15">
        <v>1</v>
      </c>
    </row>
    <row r="9" spans="2:4">
      <c r="B9" s="37">
        <v>460.9</v>
      </c>
      <c r="C9" s="15">
        <v>2</v>
      </c>
    </row>
    <row r="10" spans="2:4">
      <c r="B10" s="37">
        <v>922.2</v>
      </c>
      <c r="C10" s="15">
        <v>4</v>
      </c>
    </row>
    <row r="11" spans="2:4">
      <c r="B11" s="37">
        <v>1146.8</v>
      </c>
      <c r="C11" s="15">
        <v>5</v>
      </c>
    </row>
    <row r="12" spans="2:4">
      <c r="B12" s="37">
        <v>1597.6</v>
      </c>
      <c r="C12" s="15">
        <v>7</v>
      </c>
    </row>
    <row r="13" spans="2:4">
      <c r="B13" s="37">
        <v>2247.8000000000002</v>
      </c>
      <c r="C13" s="15">
        <v>10</v>
      </c>
    </row>
    <row r="14" spans="2:4">
      <c r="B14" s="37">
        <v>2544.1999999999998</v>
      </c>
      <c r="C14" s="15">
        <v>12</v>
      </c>
    </row>
    <row r="15" spans="2:4">
      <c r="B15" s="37">
        <v>3185.9</v>
      </c>
      <c r="C15" s="15">
        <v>15</v>
      </c>
    </row>
    <row r="16" spans="2:4">
      <c r="B16" s="37">
        <v>3786.4</v>
      </c>
      <c r="C16" s="15">
        <v>18</v>
      </c>
    </row>
    <row r="17" spans="2:3">
      <c r="B17" s="37">
        <v>4398.5</v>
      </c>
      <c r="C17" s="15">
        <v>21</v>
      </c>
    </row>
    <row r="18" spans="2:3">
      <c r="B18" s="37">
        <v>5050.3999999999996</v>
      </c>
      <c r="C18" s="15">
        <v>25</v>
      </c>
    </row>
    <row r="19" spans="2:3">
      <c r="B19" s="37">
        <v>5682.3</v>
      </c>
      <c r="C19" s="15">
        <v>27</v>
      </c>
    </row>
    <row r="20" spans="2:3" ht="15.75" thickBot="1">
      <c r="B20" s="42">
        <v>6270.7</v>
      </c>
      <c r="C20" s="11">
        <v>30</v>
      </c>
    </row>
  </sheetData>
  <mergeCells count="1">
    <mergeCell ref="B3:D3"/>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32682-D06F-400C-8EB7-D78B37536C8B}">
  <dimension ref="B3:J20"/>
  <sheetViews>
    <sheetView zoomScale="70" zoomScaleNormal="70" workbookViewId="0">
      <selection activeCell="I12" sqref="I12:J18"/>
    </sheetView>
  </sheetViews>
  <sheetFormatPr defaultColWidth="11.42578125" defaultRowHeight="15"/>
  <cols>
    <col min="2" max="2" width="23.5703125" customWidth="1"/>
    <col min="3" max="3" width="19.42578125" customWidth="1"/>
    <col min="4" max="4" width="20.7109375" customWidth="1"/>
    <col min="5" max="5" width="18.7109375" customWidth="1"/>
    <col min="6" max="6" width="27" customWidth="1"/>
    <col min="7" max="7" width="18.140625" customWidth="1"/>
    <col min="8" max="8" width="19.140625" customWidth="1"/>
    <col min="9" max="9" width="29.5703125" customWidth="1"/>
  </cols>
  <sheetData>
    <row r="3" spans="2:10" ht="15.75">
      <c r="B3" s="10"/>
    </row>
    <row r="4" spans="2:10" ht="15.75" thickBot="1"/>
    <row r="5" spans="2:10" ht="18.75" thickBot="1">
      <c r="B5" s="30" t="s">
        <v>119</v>
      </c>
      <c r="C5" s="29" t="s">
        <v>36</v>
      </c>
      <c r="D5" s="26" t="s">
        <v>120</v>
      </c>
      <c r="E5" s="30" t="s">
        <v>121</v>
      </c>
      <c r="F5" s="30" t="s">
        <v>122</v>
      </c>
      <c r="G5" s="29" t="s">
        <v>123</v>
      </c>
      <c r="H5" s="28" t="s">
        <v>124</v>
      </c>
    </row>
    <row r="6" spans="2:10">
      <c r="B6" s="124" t="s">
        <v>149</v>
      </c>
      <c r="C6" s="122" t="s">
        <v>126</v>
      </c>
      <c r="D6" s="126" t="s">
        <v>126</v>
      </c>
      <c r="E6" s="128" t="s">
        <v>150</v>
      </c>
      <c r="F6" s="128" t="s">
        <v>126</v>
      </c>
      <c r="G6" s="121" t="s">
        <v>126</v>
      </c>
      <c r="H6" s="121" t="s">
        <v>140</v>
      </c>
    </row>
    <row r="7" spans="2:10">
      <c r="B7" s="124"/>
      <c r="C7" s="122"/>
      <c r="D7" s="126"/>
      <c r="E7" s="124"/>
      <c r="F7" s="124"/>
      <c r="G7" s="122"/>
      <c r="H7" s="122"/>
    </row>
    <row r="8" spans="2:10" ht="32.1" customHeight="1" thickBot="1">
      <c r="B8" s="125"/>
      <c r="C8" s="123"/>
      <c r="D8" s="127"/>
      <c r="E8" s="125"/>
      <c r="F8" s="125"/>
      <c r="G8" s="123"/>
      <c r="H8" s="123"/>
    </row>
    <row r="9" spans="2:10">
      <c r="E9" s="3"/>
      <c r="F9" s="3"/>
      <c r="G9" s="3"/>
      <c r="H9" s="3"/>
      <c r="I9" s="3"/>
    </row>
    <row r="12" spans="2:10" ht="15.75" thickBot="1"/>
    <row r="13" spans="2:10" ht="15.75" thickBot="1">
      <c r="B13" s="27" t="s">
        <v>129</v>
      </c>
      <c r="C13" s="26" t="s">
        <v>130</v>
      </c>
      <c r="D13" s="26" t="s">
        <v>131</v>
      </c>
      <c r="E13" s="26" t="s">
        <v>2</v>
      </c>
      <c r="F13" s="26" t="s">
        <v>133</v>
      </c>
      <c r="G13" s="25" t="s">
        <v>134</v>
      </c>
      <c r="I13" s="24" t="s">
        <v>135</v>
      </c>
      <c r="J13" s="23">
        <v>5.87</v>
      </c>
    </row>
    <row r="14" spans="2:10" ht="15.75" thickBot="1">
      <c r="B14" s="16">
        <v>0</v>
      </c>
      <c r="C14" s="2" t="s">
        <v>49</v>
      </c>
      <c r="D14" s="3" t="s">
        <v>49</v>
      </c>
      <c r="E14" s="2">
        <v>2118</v>
      </c>
      <c r="F14" s="2">
        <f t="shared" ref="F14:F20" si="0">(E14)/219.63</f>
        <v>9.6434913263215414</v>
      </c>
      <c r="G14" s="32">
        <f t="shared" ref="G14:G20" si="1">($F$14-F14)/$F$14*100</f>
        <v>0</v>
      </c>
      <c r="I14" s="22" t="s">
        <v>136</v>
      </c>
      <c r="J14" s="21">
        <v>6.17</v>
      </c>
    </row>
    <row r="15" spans="2:10" ht="15.75" thickBot="1">
      <c r="B15" s="16">
        <v>5</v>
      </c>
      <c r="C15" s="2" t="s">
        <v>49</v>
      </c>
      <c r="D15" s="3" t="s">
        <v>49</v>
      </c>
      <c r="E15" s="2">
        <v>2109.9</v>
      </c>
      <c r="F15" s="2">
        <f t="shared" si="0"/>
        <v>9.6066111186996324</v>
      </c>
      <c r="G15" s="32">
        <f t="shared" si="1"/>
        <v>0.38243626062322372</v>
      </c>
    </row>
    <row r="16" spans="2:10">
      <c r="B16" s="16">
        <v>15</v>
      </c>
      <c r="C16" s="2" t="s">
        <v>49</v>
      </c>
      <c r="D16" s="3" t="s">
        <v>49</v>
      </c>
      <c r="E16" s="2">
        <v>2113.5</v>
      </c>
      <c r="F16" s="2">
        <f t="shared" si="0"/>
        <v>9.6230023220871459</v>
      </c>
      <c r="G16" s="32">
        <f t="shared" si="1"/>
        <v>0.21246458923514064</v>
      </c>
      <c r="I16" s="20" t="s">
        <v>137</v>
      </c>
      <c r="J16" s="19">
        <v>2.0649999999999999</v>
      </c>
    </row>
    <row r="17" spans="2:10" ht="15.75" thickBot="1">
      <c r="B17" s="16">
        <v>30</v>
      </c>
      <c r="C17" s="2" t="s">
        <v>49</v>
      </c>
      <c r="D17" s="3" t="s">
        <v>49</v>
      </c>
      <c r="E17" s="2">
        <v>2131.1</v>
      </c>
      <c r="F17" s="2">
        <f t="shared" si="0"/>
        <v>9.7031370942038873</v>
      </c>
      <c r="G17" s="32">
        <f t="shared" si="1"/>
        <v>-0.61850802644002001</v>
      </c>
      <c r="I17" s="18" t="s">
        <v>138</v>
      </c>
      <c r="J17" s="17">
        <v>2.0699999999999998</v>
      </c>
    </row>
    <row r="18" spans="2:10">
      <c r="B18" s="16">
        <v>45</v>
      </c>
      <c r="C18" s="2" t="s">
        <v>49</v>
      </c>
      <c r="D18" s="3" t="s">
        <v>49</v>
      </c>
      <c r="E18" s="2">
        <v>2131.3000000000002</v>
      </c>
      <c r="F18" s="2">
        <f t="shared" si="0"/>
        <v>9.7040477166143067</v>
      </c>
      <c r="G18" s="32">
        <f t="shared" si="1"/>
        <v>-0.62795089707271179</v>
      </c>
    </row>
    <row r="19" spans="2:10">
      <c r="B19" s="16">
        <v>60</v>
      </c>
      <c r="C19" s="2" t="s">
        <v>49</v>
      </c>
      <c r="D19" s="3" t="s">
        <v>49</v>
      </c>
      <c r="E19" s="2">
        <v>2137.6</v>
      </c>
      <c r="F19" s="2">
        <f t="shared" si="0"/>
        <v>9.7327323225424571</v>
      </c>
      <c r="G19" s="32">
        <f t="shared" si="1"/>
        <v>-0.92540132200187553</v>
      </c>
    </row>
    <row r="20" spans="2:10" ht="15.75" thickBot="1">
      <c r="B20" s="14">
        <v>90</v>
      </c>
      <c r="C20" s="12" t="s">
        <v>49</v>
      </c>
      <c r="D20" s="13" t="s">
        <v>49</v>
      </c>
      <c r="E20" s="12">
        <v>2146.5</v>
      </c>
      <c r="F20" s="12">
        <f t="shared" si="0"/>
        <v>9.7732550198060384</v>
      </c>
      <c r="G20" s="31">
        <f t="shared" si="1"/>
        <v>-1.345609065155811</v>
      </c>
    </row>
  </sheetData>
  <mergeCells count="7">
    <mergeCell ref="H6:H8"/>
    <mergeCell ref="B6:B8"/>
    <mergeCell ref="C6:C8"/>
    <mergeCell ref="D6:D8"/>
    <mergeCell ref="E6:E8"/>
    <mergeCell ref="F6:F8"/>
    <mergeCell ref="G6:G8"/>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31E0E-E139-495D-88E3-26C381072214}">
  <dimension ref="B3:J20"/>
  <sheetViews>
    <sheetView zoomScale="63" zoomScaleNormal="63" workbookViewId="0">
      <selection activeCell="H16" sqref="H16"/>
    </sheetView>
  </sheetViews>
  <sheetFormatPr defaultColWidth="11.42578125" defaultRowHeight="15"/>
  <cols>
    <col min="2" max="2" width="23.5703125" customWidth="1"/>
    <col min="3" max="3" width="19.42578125" customWidth="1"/>
    <col min="4" max="4" width="20.7109375" customWidth="1"/>
    <col min="5" max="5" width="18.7109375" customWidth="1"/>
    <col min="6" max="6" width="27" customWidth="1"/>
    <col min="7" max="7" width="18.140625" customWidth="1"/>
    <col min="8" max="8" width="19.140625" customWidth="1"/>
    <col min="9" max="9" width="29.5703125" customWidth="1"/>
  </cols>
  <sheetData>
    <row r="3" spans="2:10" ht="15.75">
      <c r="B3" s="10"/>
    </row>
    <row r="4" spans="2:10" ht="15.75" thickBot="1"/>
    <row r="5" spans="2:10" ht="18.75" thickBot="1">
      <c r="B5" s="30" t="s">
        <v>119</v>
      </c>
      <c r="C5" s="29" t="s">
        <v>36</v>
      </c>
      <c r="D5" s="26" t="s">
        <v>120</v>
      </c>
      <c r="E5" s="30" t="s">
        <v>121</v>
      </c>
      <c r="F5" s="30" t="s">
        <v>122</v>
      </c>
      <c r="G5" s="29" t="s">
        <v>123</v>
      </c>
      <c r="H5" s="28" t="s">
        <v>124</v>
      </c>
    </row>
    <row r="6" spans="2:10">
      <c r="B6" s="124" t="s">
        <v>149</v>
      </c>
      <c r="C6" s="122" t="s">
        <v>126</v>
      </c>
      <c r="D6" s="126" t="s">
        <v>126</v>
      </c>
      <c r="E6" s="128" t="s">
        <v>150</v>
      </c>
      <c r="F6" s="128" t="s">
        <v>127</v>
      </c>
      <c r="G6" s="121" t="s">
        <v>151</v>
      </c>
      <c r="H6" s="121" t="s">
        <v>140</v>
      </c>
    </row>
    <row r="7" spans="2:10">
      <c r="B7" s="124"/>
      <c r="C7" s="122"/>
      <c r="D7" s="126"/>
      <c r="E7" s="124"/>
      <c r="F7" s="124"/>
      <c r="G7" s="122"/>
      <c r="H7" s="122"/>
    </row>
    <row r="8" spans="2:10" ht="32.1" customHeight="1" thickBot="1">
      <c r="B8" s="125"/>
      <c r="C8" s="123"/>
      <c r="D8" s="127"/>
      <c r="E8" s="125"/>
      <c r="F8" s="125"/>
      <c r="G8" s="123"/>
      <c r="H8" s="123"/>
    </row>
    <row r="9" spans="2:10">
      <c r="E9" s="3"/>
      <c r="F9" s="3"/>
      <c r="G9" s="3"/>
      <c r="H9" s="3"/>
      <c r="I9" s="3"/>
    </row>
    <row r="12" spans="2:10" ht="15.75" thickBot="1"/>
    <row r="13" spans="2:10" ht="15.75" thickBot="1">
      <c r="B13" s="27" t="s">
        <v>129</v>
      </c>
      <c r="C13" s="26" t="s">
        <v>130</v>
      </c>
      <c r="D13" s="26" t="s">
        <v>131</v>
      </c>
      <c r="E13" s="26" t="s">
        <v>2</v>
      </c>
      <c r="F13" s="26" t="s">
        <v>133</v>
      </c>
      <c r="G13" s="25" t="s">
        <v>134</v>
      </c>
      <c r="I13" s="24" t="s">
        <v>135</v>
      </c>
      <c r="J13" s="23">
        <v>6</v>
      </c>
    </row>
    <row r="14" spans="2:10" ht="15.75" thickBot="1">
      <c r="B14" s="16">
        <v>0</v>
      </c>
      <c r="C14" s="2">
        <v>11.1</v>
      </c>
      <c r="D14" s="3">
        <v>100</v>
      </c>
      <c r="E14" s="2">
        <v>2111.1</v>
      </c>
      <c r="F14" s="2">
        <f t="shared" ref="F14:F20" si="0">(E14)/219.63</f>
        <v>9.6120748531621363</v>
      </c>
      <c r="G14" s="32">
        <f t="shared" ref="G14:G20" si="1">($F$14-F14)/$F$14*100</f>
        <v>0</v>
      </c>
      <c r="I14" s="22" t="s">
        <v>136</v>
      </c>
      <c r="J14" s="21">
        <v>4.5</v>
      </c>
    </row>
    <row r="15" spans="2:10" ht="15.75" thickBot="1">
      <c r="B15" s="16">
        <v>5</v>
      </c>
      <c r="C15" s="2">
        <v>10.8</v>
      </c>
      <c r="D15" s="3">
        <v>100</v>
      </c>
      <c r="E15" s="2">
        <v>1851.4</v>
      </c>
      <c r="F15" s="2">
        <f t="shared" si="0"/>
        <v>8.4296316532349866</v>
      </c>
      <c r="G15" s="32">
        <f t="shared" si="1"/>
        <v>12.301643692861536</v>
      </c>
    </row>
    <row r="16" spans="2:10">
      <c r="B16" s="16">
        <v>15</v>
      </c>
      <c r="C16" s="2">
        <v>10.7</v>
      </c>
      <c r="D16" s="3">
        <v>100</v>
      </c>
      <c r="E16" s="2">
        <v>1466.4</v>
      </c>
      <c r="F16" s="2">
        <f t="shared" si="0"/>
        <v>6.6766835131812599</v>
      </c>
      <c r="G16" s="32">
        <f t="shared" si="1"/>
        <v>30.538581782009373</v>
      </c>
      <c r="I16" s="20" t="s">
        <v>137</v>
      </c>
      <c r="J16" s="19">
        <v>2.2069999999999999</v>
      </c>
    </row>
    <row r="17" spans="2:10" ht="15.75" thickBot="1">
      <c r="B17" s="16">
        <v>30</v>
      </c>
      <c r="C17" s="2">
        <v>10.4</v>
      </c>
      <c r="D17" s="3">
        <v>100</v>
      </c>
      <c r="E17" s="2">
        <v>1006.7</v>
      </c>
      <c r="F17" s="2">
        <f t="shared" si="0"/>
        <v>4.5836179028365889</v>
      </c>
      <c r="G17" s="32">
        <f t="shared" si="1"/>
        <v>52.313959547155505</v>
      </c>
      <c r="I17" s="18" t="s">
        <v>138</v>
      </c>
      <c r="J17" s="17">
        <v>2.044</v>
      </c>
    </row>
    <row r="18" spans="2:10">
      <c r="B18" s="16">
        <v>45</v>
      </c>
      <c r="C18" s="2">
        <v>10</v>
      </c>
      <c r="D18" s="3">
        <v>100</v>
      </c>
      <c r="E18" s="2">
        <v>536.6</v>
      </c>
      <c r="F18" s="2">
        <f t="shared" si="0"/>
        <v>2.4431999271502072</v>
      </c>
      <c r="G18" s="32">
        <f t="shared" si="1"/>
        <v>74.581971484060432</v>
      </c>
    </row>
    <row r="19" spans="2:10">
      <c r="B19" s="16">
        <v>60</v>
      </c>
      <c r="C19" s="2">
        <v>9.6999999999999993</v>
      </c>
      <c r="D19" s="3">
        <v>100</v>
      </c>
      <c r="E19" s="2">
        <v>373</v>
      </c>
      <c r="F19" s="2">
        <f t="shared" si="0"/>
        <v>1.6983107954286756</v>
      </c>
      <c r="G19" s="32">
        <f t="shared" si="1"/>
        <v>82.331485955189237</v>
      </c>
    </row>
    <row r="20" spans="2:10" ht="15.75" thickBot="1">
      <c r="B20" s="14">
        <v>90</v>
      </c>
      <c r="C20" s="12">
        <v>9.3000000000000007</v>
      </c>
      <c r="D20" s="13">
        <v>100</v>
      </c>
      <c r="E20" s="12">
        <v>67.2</v>
      </c>
      <c r="F20" s="12">
        <f t="shared" si="0"/>
        <v>0.30596912990028685</v>
      </c>
      <c r="G20" s="31">
        <f t="shared" si="1"/>
        <v>96.816825351712382</v>
      </c>
    </row>
  </sheetData>
  <mergeCells count="7">
    <mergeCell ref="H6:H8"/>
    <mergeCell ref="B6:B8"/>
    <mergeCell ref="C6:C8"/>
    <mergeCell ref="D6:D8"/>
    <mergeCell ref="E6:E8"/>
    <mergeCell ref="F6:F8"/>
    <mergeCell ref="G6:G8"/>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7A867-89BE-4FE9-A828-C01E3AEA9D95}">
  <dimension ref="B3:N20"/>
  <sheetViews>
    <sheetView topLeftCell="B8" zoomScale="59" zoomScaleNormal="59" workbookViewId="0">
      <selection activeCell="T18" sqref="T18"/>
    </sheetView>
  </sheetViews>
  <sheetFormatPr defaultColWidth="11.42578125" defaultRowHeight="15"/>
  <cols>
    <col min="2" max="2" width="23.5703125" customWidth="1"/>
    <col min="3" max="3" width="19.42578125" customWidth="1"/>
    <col min="4" max="4" width="20.7109375" customWidth="1"/>
    <col min="5" max="5" width="18.7109375" customWidth="1"/>
    <col min="6" max="6" width="27" customWidth="1"/>
    <col min="7" max="7" width="18.140625" customWidth="1"/>
    <col min="8" max="8" width="19.140625" customWidth="1"/>
    <col min="9" max="9" width="29.5703125" customWidth="1"/>
  </cols>
  <sheetData>
    <row r="3" spans="2:14" ht="15.75">
      <c r="B3" s="10"/>
    </row>
    <row r="4" spans="2:14" ht="15.75" thickBot="1"/>
    <row r="5" spans="2:14" ht="18.75" thickBot="1">
      <c r="B5" s="30" t="s">
        <v>119</v>
      </c>
      <c r="C5" s="29" t="s">
        <v>36</v>
      </c>
      <c r="D5" s="26" t="s">
        <v>120</v>
      </c>
      <c r="E5" s="30" t="s">
        <v>121</v>
      </c>
      <c r="F5" s="30" t="s">
        <v>122</v>
      </c>
      <c r="G5" s="29" t="s">
        <v>123</v>
      </c>
      <c r="H5" s="28" t="s">
        <v>124</v>
      </c>
    </row>
    <row r="6" spans="2:14">
      <c r="B6" s="124" t="s">
        <v>149</v>
      </c>
      <c r="C6" s="122" t="s">
        <v>126</v>
      </c>
      <c r="D6" s="126" t="s">
        <v>126</v>
      </c>
      <c r="E6" s="128" t="s">
        <v>126</v>
      </c>
      <c r="F6" s="128" t="s">
        <v>127</v>
      </c>
      <c r="G6" s="121" t="s">
        <v>151</v>
      </c>
      <c r="H6" s="121" t="s">
        <v>140</v>
      </c>
    </row>
    <row r="7" spans="2:14">
      <c r="B7" s="124"/>
      <c r="C7" s="122"/>
      <c r="D7" s="126"/>
      <c r="E7" s="124"/>
      <c r="F7" s="124"/>
      <c r="G7" s="122"/>
      <c r="H7" s="122"/>
    </row>
    <row r="8" spans="2:14" ht="32.1" customHeight="1" thickBot="1">
      <c r="B8" s="125"/>
      <c r="C8" s="123"/>
      <c r="D8" s="127"/>
      <c r="E8" s="125"/>
      <c r="F8" s="125"/>
      <c r="G8" s="123"/>
      <c r="H8" s="123"/>
    </row>
    <row r="9" spans="2:14">
      <c r="E9" s="3"/>
      <c r="F9" s="3"/>
      <c r="G9" s="3"/>
      <c r="H9" s="3"/>
      <c r="I9" s="3"/>
    </row>
    <row r="12" spans="2:14" ht="15.75" thickBot="1"/>
    <row r="13" spans="2:14" ht="15.75" thickBot="1">
      <c r="B13" s="27" t="s">
        <v>129</v>
      </c>
      <c r="C13" s="26" t="s">
        <v>130</v>
      </c>
      <c r="D13" s="26" t="s">
        <v>131</v>
      </c>
      <c r="E13" s="26" t="s">
        <v>2</v>
      </c>
      <c r="F13" s="26" t="s">
        <v>133</v>
      </c>
      <c r="G13" s="25" t="s">
        <v>134</v>
      </c>
      <c r="I13" s="24" t="s">
        <v>135</v>
      </c>
      <c r="J13" s="23">
        <v>5.55</v>
      </c>
    </row>
    <row r="14" spans="2:14" ht="15.75" thickBot="1">
      <c r="B14" s="16">
        <v>0</v>
      </c>
      <c r="C14" s="2">
        <v>10.199999999999999</v>
      </c>
      <c r="D14" s="3">
        <v>100</v>
      </c>
      <c r="E14" s="2">
        <v>2117.8000000000002</v>
      </c>
      <c r="F14" s="2">
        <f t="shared" ref="F14:F20" si="0">(E14)/219.63</f>
        <v>9.6425807039111238</v>
      </c>
      <c r="G14" s="32">
        <f t="shared" ref="G14:G20" si="1">($F$14-F14)/$F$14*100</f>
        <v>0</v>
      </c>
      <c r="I14" s="22" t="s">
        <v>136</v>
      </c>
      <c r="J14" s="21">
        <v>5.87</v>
      </c>
      <c r="L14">
        <f>-LN(F14/$F$14)</f>
        <v>0</v>
      </c>
      <c r="M14" s="1">
        <f>$F$14-F14</f>
        <v>0</v>
      </c>
      <c r="N14">
        <f>(1/F14)-(1/$F$14)</f>
        <v>0</v>
      </c>
    </row>
    <row r="15" spans="2:14" ht="15.75" thickBot="1">
      <c r="B15" s="16">
        <v>5</v>
      </c>
      <c r="C15" s="2">
        <v>10.1</v>
      </c>
      <c r="D15" s="3">
        <v>100</v>
      </c>
      <c r="E15" s="2">
        <v>1916.1</v>
      </c>
      <c r="F15" s="2">
        <f t="shared" si="0"/>
        <v>8.7242180030050545</v>
      </c>
      <c r="G15" s="32">
        <f t="shared" si="1"/>
        <v>9.5240343752951162</v>
      </c>
      <c r="L15">
        <f t="shared" ref="L15:L20" si="2">-LN(F15/$F$14)</f>
        <v>0.10008594376070093</v>
      </c>
      <c r="M15" s="1">
        <f t="shared" ref="M15:M20" si="3">$F$14-F15</f>
        <v>0.91836270090606931</v>
      </c>
      <c r="N15">
        <f t="shared" ref="N15:N20" si="4">(1/F15)-(1/$F$14)</f>
        <v>1.09167771507023E-2</v>
      </c>
    </row>
    <row r="16" spans="2:14">
      <c r="B16" s="16">
        <v>15</v>
      </c>
      <c r="C16" s="2">
        <v>10.5</v>
      </c>
      <c r="D16" s="3">
        <v>100</v>
      </c>
      <c r="E16" s="2">
        <v>1577</v>
      </c>
      <c r="F16" s="2">
        <f t="shared" si="0"/>
        <v>7.1802577061421484</v>
      </c>
      <c r="G16" s="32">
        <f t="shared" si="1"/>
        <v>25.535933515912738</v>
      </c>
      <c r="I16" s="20" t="s">
        <v>137</v>
      </c>
      <c r="J16" s="19">
        <v>1.984</v>
      </c>
      <c r="L16">
        <f t="shared" si="2"/>
        <v>0.29485350603331578</v>
      </c>
      <c r="M16" s="1">
        <f t="shared" si="3"/>
        <v>2.4623229977689753</v>
      </c>
      <c r="N16">
        <f t="shared" si="4"/>
        <v>3.5564090539631665E-2</v>
      </c>
    </row>
    <row r="17" spans="2:14" ht="15.75" thickBot="1">
      <c r="B17" s="16">
        <v>30</v>
      </c>
      <c r="C17" s="2">
        <v>10.5</v>
      </c>
      <c r="D17" s="3">
        <v>100</v>
      </c>
      <c r="E17" s="2">
        <v>1192.2</v>
      </c>
      <c r="F17" s="2">
        <f t="shared" si="0"/>
        <v>5.4282201884988392</v>
      </c>
      <c r="G17" s="32">
        <f t="shared" si="1"/>
        <v>43.705732363773727</v>
      </c>
      <c r="I17" s="18" t="s">
        <v>138</v>
      </c>
      <c r="J17" s="17">
        <v>2.0649999999999999</v>
      </c>
      <c r="L17">
        <f t="shared" si="2"/>
        <v>0.57457747421052796</v>
      </c>
      <c r="M17" s="1">
        <f t="shared" si="3"/>
        <v>4.2143605154122845</v>
      </c>
      <c r="N17">
        <f t="shared" si="4"/>
        <v>8.0515769158325978E-2</v>
      </c>
    </row>
    <row r="18" spans="2:14">
      <c r="B18" s="16">
        <v>45</v>
      </c>
      <c r="C18" s="2">
        <v>10.5</v>
      </c>
      <c r="D18" s="3">
        <v>100</v>
      </c>
      <c r="E18" s="2">
        <v>869.3</v>
      </c>
      <c r="F18" s="2">
        <f t="shared" si="0"/>
        <v>3.9580203068797521</v>
      </c>
      <c r="G18" s="32">
        <f t="shared" si="1"/>
        <v>58.952686750401362</v>
      </c>
      <c r="L18">
        <f t="shared" si="2"/>
        <v>0.89044480291133543</v>
      </c>
      <c r="M18" s="1">
        <f t="shared" si="3"/>
        <v>5.6845603970313716</v>
      </c>
      <c r="N18">
        <f t="shared" si="4"/>
        <v>0.14894488198539807</v>
      </c>
    </row>
    <row r="19" spans="2:14">
      <c r="B19" s="16">
        <v>60</v>
      </c>
      <c r="C19" s="2">
        <v>10.5</v>
      </c>
      <c r="D19" s="3">
        <v>100</v>
      </c>
      <c r="E19" s="2">
        <v>653.29999999999995</v>
      </c>
      <c r="F19" s="2">
        <f t="shared" si="0"/>
        <v>2.9745481036288304</v>
      </c>
      <c r="G19" s="32">
        <f t="shared" si="1"/>
        <v>69.151950136934559</v>
      </c>
      <c r="L19">
        <f t="shared" si="2"/>
        <v>1.1760966511496493</v>
      </c>
      <c r="M19" s="1">
        <f t="shared" si="3"/>
        <v>6.6680326002822934</v>
      </c>
      <c r="N19">
        <f t="shared" si="4"/>
        <v>0.23247884292935767</v>
      </c>
    </row>
    <row r="20" spans="2:14" ht="15.75" thickBot="1">
      <c r="B20" s="14">
        <v>90</v>
      </c>
      <c r="C20" s="12">
        <v>10.5</v>
      </c>
      <c r="D20" s="13">
        <v>100</v>
      </c>
      <c r="E20" s="12">
        <v>319.5</v>
      </c>
      <c r="F20" s="12">
        <f t="shared" si="0"/>
        <v>1.4547193006419887</v>
      </c>
      <c r="G20" s="31">
        <f t="shared" si="1"/>
        <v>84.91358957408633</v>
      </c>
      <c r="L20">
        <f t="shared" si="2"/>
        <v>1.8913758191787646</v>
      </c>
      <c r="M20" s="1">
        <f t="shared" si="3"/>
        <v>8.1878614032691353</v>
      </c>
      <c r="N20">
        <f t="shared" si="4"/>
        <v>0.58371116363557363</v>
      </c>
    </row>
  </sheetData>
  <mergeCells count="7">
    <mergeCell ref="H6:H8"/>
    <mergeCell ref="B6:B8"/>
    <mergeCell ref="C6:C8"/>
    <mergeCell ref="D6:D8"/>
    <mergeCell ref="E6:E8"/>
    <mergeCell ref="F6:F8"/>
    <mergeCell ref="G6:G8"/>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18077-8768-4D19-950F-0FCC42FCD989}">
  <dimension ref="B4:J68"/>
  <sheetViews>
    <sheetView topLeftCell="A2" zoomScale="66" zoomScaleNormal="66" workbookViewId="0">
      <selection activeCell="K8" sqref="K8"/>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149</v>
      </c>
      <c r="C7" s="122" t="s">
        <v>152</v>
      </c>
      <c r="D7" s="126" t="s">
        <v>126</v>
      </c>
      <c r="E7" s="128" t="s">
        <v>126</v>
      </c>
      <c r="F7" s="128" t="s">
        <v>127</v>
      </c>
      <c r="G7" s="121" t="s">
        <v>151</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v>5.56</v>
      </c>
    </row>
    <row r="15" spans="2:10" ht="15.75" thickBot="1">
      <c r="B15" s="16">
        <v>0</v>
      </c>
      <c r="C15" s="2">
        <v>9.8000000000000007</v>
      </c>
      <c r="D15" s="3">
        <v>100</v>
      </c>
      <c r="E15" s="2">
        <v>2104.4</v>
      </c>
      <c r="F15" s="2">
        <f t="shared" ref="F15:F21" si="0">(E15)/219.63</f>
        <v>9.5815690024131506</v>
      </c>
      <c r="G15" s="32">
        <f t="shared" ref="G15:G21" si="1">($F$15-F15)/$F$15*100</f>
        <v>0</v>
      </c>
      <c r="I15" s="22" t="s">
        <v>136</v>
      </c>
      <c r="J15" s="21">
        <v>3.59</v>
      </c>
    </row>
    <row r="16" spans="2:10" ht="15.75" thickBot="1">
      <c r="B16" s="16">
        <v>5</v>
      </c>
      <c r="C16" s="2">
        <v>9.8000000000000007</v>
      </c>
      <c r="D16" s="3">
        <v>100</v>
      </c>
      <c r="E16" s="2">
        <v>1509.9</v>
      </c>
      <c r="F16" s="2">
        <f t="shared" si="0"/>
        <v>6.874743887447071</v>
      </c>
      <c r="G16" s="32">
        <f t="shared" si="1"/>
        <v>28.250332636380914</v>
      </c>
    </row>
    <row r="17" spans="2:10">
      <c r="B17" s="16">
        <v>15</v>
      </c>
      <c r="C17" s="2">
        <v>9.6999999999999993</v>
      </c>
      <c r="D17" s="3">
        <v>100</v>
      </c>
      <c r="E17" s="2">
        <v>1272.0999999999999</v>
      </c>
      <c r="F17" s="2">
        <f t="shared" si="0"/>
        <v>5.7920138414606379</v>
      </c>
      <c r="G17" s="32">
        <f t="shared" si="1"/>
        <v>39.550465690933294</v>
      </c>
      <c r="I17" s="20" t="s">
        <v>137</v>
      </c>
      <c r="J17" s="19">
        <v>2.012</v>
      </c>
    </row>
    <row r="18" spans="2:10" ht="15.75" thickBot="1">
      <c r="B18" s="16">
        <v>30</v>
      </c>
      <c r="C18" s="2">
        <v>9.4</v>
      </c>
      <c r="D18" s="3">
        <v>100</v>
      </c>
      <c r="E18" s="2">
        <v>758.6</v>
      </c>
      <c r="F18" s="2">
        <f t="shared" si="0"/>
        <v>3.4539908027136548</v>
      </c>
      <c r="G18" s="32">
        <f t="shared" si="1"/>
        <v>63.951720205284168</v>
      </c>
      <c r="I18" s="18" t="s">
        <v>138</v>
      </c>
      <c r="J18" s="17">
        <v>2.2309999999999999</v>
      </c>
    </row>
    <row r="19" spans="2:10">
      <c r="B19" s="16">
        <v>45</v>
      </c>
      <c r="C19" s="2">
        <v>8.9</v>
      </c>
      <c r="D19" s="3">
        <v>100</v>
      </c>
      <c r="E19" s="2">
        <v>771.1</v>
      </c>
      <c r="F19" s="2">
        <f t="shared" si="0"/>
        <v>3.51090470336475</v>
      </c>
      <c r="G19" s="32">
        <f t="shared" si="1"/>
        <v>63.357726667933854</v>
      </c>
    </row>
    <row r="20" spans="2:10">
      <c r="B20" s="16">
        <v>60</v>
      </c>
      <c r="C20" s="2">
        <v>9.1</v>
      </c>
      <c r="D20" s="3">
        <v>100</v>
      </c>
      <c r="E20" s="2">
        <v>656.2</v>
      </c>
      <c r="F20" s="2">
        <f t="shared" si="0"/>
        <v>2.9877521285798845</v>
      </c>
      <c r="G20" s="32">
        <f t="shared" si="1"/>
        <v>68.817715263257924</v>
      </c>
    </row>
    <row r="21" spans="2:10" ht="15.75" thickBot="1">
      <c r="B21" s="14">
        <v>90</v>
      </c>
      <c r="C21" s="12">
        <v>8.8000000000000007</v>
      </c>
      <c r="D21" s="13">
        <v>100</v>
      </c>
      <c r="E21" s="12">
        <v>422.8</v>
      </c>
      <c r="F21" s="12">
        <f t="shared" si="0"/>
        <v>1.9250557756226381</v>
      </c>
      <c r="G21" s="31">
        <f t="shared" si="1"/>
        <v>79.908762592662981</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396D6-E1EB-45B7-84F6-657EF29548FB}">
  <dimension ref="B3:J20"/>
  <sheetViews>
    <sheetView zoomScale="70" zoomScaleNormal="70" workbookViewId="0">
      <selection activeCell="B3" sqref="B3"/>
    </sheetView>
  </sheetViews>
  <sheetFormatPr defaultColWidth="11.42578125" defaultRowHeight="15"/>
  <cols>
    <col min="2" max="2" width="23.5703125" customWidth="1"/>
    <col min="3" max="3" width="19.42578125" customWidth="1"/>
    <col min="4" max="4" width="20.7109375" customWidth="1"/>
    <col min="5" max="5" width="18.7109375" customWidth="1"/>
    <col min="6" max="6" width="27" customWidth="1"/>
    <col min="7" max="7" width="18.140625" customWidth="1"/>
    <col min="8" max="8" width="19.140625" customWidth="1"/>
    <col min="9" max="9" width="29.5703125" customWidth="1"/>
  </cols>
  <sheetData>
    <row r="3" spans="2:10" ht="15.75">
      <c r="B3" s="10"/>
    </row>
    <row r="4" spans="2:10" ht="15.75" thickBot="1"/>
    <row r="5" spans="2:10" ht="18.75" thickBot="1">
      <c r="B5" s="30" t="s">
        <v>119</v>
      </c>
      <c r="C5" s="29" t="s">
        <v>36</v>
      </c>
      <c r="D5" s="26" t="s">
        <v>120</v>
      </c>
      <c r="E5" s="30" t="s">
        <v>121</v>
      </c>
      <c r="F5" s="30" t="s">
        <v>122</v>
      </c>
      <c r="G5" s="29" t="s">
        <v>123</v>
      </c>
      <c r="H5" s="28" t="s">
        <v>124</v>
      </c>
    </row>
    <row r="6" spans="2:10">
      <c r="B6" s="124" t="s">
        <v>149</v>
      </c>
      <c r="C6" s="122" t="s">
        <v>126</v>
      </c>
      <c r="D6" s="126" t="s">
        <v>153</v>
      </c>
      <c r="E6" s="128" t="s">
        <v>150</v>
      </c>
      <c r="F6" s="128" t="s">
        <v>126</v>
      </c>
      <c r="G6" s="121" t="s">
        <v>126</v>
      </c>
      <c r="H6" s="121" t="s">
        <v>140</v>
      </c>
    </row>
    <row r="7" spans="2:10">
      <c r="B7" s="124"/>
      <c r="C7" s="122"/>
      <c r="D7" s="126"/>
      <c r="E7" s="124"/>
      <c r="F7" s="124"/>
      <c r="G7" s="122"/>
      <c r="H7" s="122"/>
    </row>
    <row r="8" spans="2:10" ht="32.1" customHeight="1" thickBot="1">
      <c r="B8" s="125"/>
      <c r="C8" s="123"/>
      <c r="D8" s="127"/>
      <c r="E8" s="125"/>
      <c r="F8" s="125"/>
      <c r="G8" s="123"/>
      <c r="H8" s="123"/>
    </row>
    <row r="9" spans="2:10">
      <c r="E9" s="3"/>
      <c r="F9" s="3"/>
      <c r="G9" s="3"/>
      <c r="H9" s="3"/>
      <c r="I9" s="3"/>
    </row>
    <row r="12" spans="2:10" ht="15.75" thickBot="1"/>
    <row r="13" spans="2:10" ht="15.75" thickBot="1">
      <c r="B13" s="27" t="s">
        <v>129</v>
      </c>
      <c r="C13" s="26" t="s">
        <v>130</v>
      </c>
      <c r="D13" s="26" t="s">
        <v>131</v>
      </c>
      <c r="E13" s="26" t="s">
        <v>2</v>
      </c>
      <c r="F13" s="26" t="s">
        <v>133</v>
      </c>
      <c r="G13" s="25" t="s">
        <v>134</v>
      </c>
      <c r="I13" s="24" t="s">
        <v>135</v>
      </c>
      <c r="J13" s="23">
        <v>5.47</v>
      </c>
    </row>
    <row r="14" spans="2:10" ht="15.75" thickBot="1">
      <c r="B14" s="16">
        <v>0</v>
      </c>
      <c r="C14" s="2" t="s">
        <v>49</v>
      </c>
      <c r="D14" s="3" t="s">
        <v>49</v>
      </c>
      <c r="E14" s="2">
        <v>2119.3000000000002</v>
      </c>
      <c r="F14" s="2">
        <f t="shared" ref="F14:F20" si="0">(E14)/219.63</f>
        <v>9.649410371989255</v>
      </c>
      <c r="G14" s="32">
        <f t="shared" ref="G14:G20" si="1">($F$14-F14)/$F$14*100</f>
        <v>0</v>
      </c>
      <c r="I14" s="22" t="s">
        <v>136</v>
      </c>
      <c r="J14" s="21">
        <v>5.59</v>
      </c>
    </row>
    <row r="15" spans="2:10" ht="15.75" thickBot="1">
      <c r="B15" s="16">
        <v>5</v>
      </c>
      <c r="C15" s="2" t="s">
        <v>49</v>
      </c>
      <c r="D15" s="3" t="s">
        <v>49</v>
      </c>
      <c r="E15" s="2">
        <v>2089.1</v>
      </c>
      <c r="F15" s="2">
        <f t="shared" si="0"/>
        <v>9.5119063880162091</v>
      </c>
      <c r="G15" s="32">
        <f t="shared" si="1"/>
        <v>1.4249988203652177</v>
      </c>
    </row>
    <row r="16" spans="2:10">
      <c r="B16" s="16">
        <v>15</v>
      </c>
      <c r="C16" s="2" t="s">
        <v>49</v>
      </c>
      <c r="D16" s="3" t="s">
        <v>49</v>
      </c>
      <c r="E16" s="2">
        <v>2024.7</v>
      </c>
      <c r="F16" s="2">
        <f t="shared" si="0"/>
        <v>9.2186859718617686</v>
      </c>
      <c r="G16" s="32">
        <f t="shared" si="1"/>
        <v>4.4637380267069231</v>
      </c>
      <c r="I16" s="20" t="s">
        <v>137</v>
      </c>
      <c r="J16" s="19">
        <v>2.218</v>
      </c>
    </row>
    <row r="17" spans="2:10" ht="15.75" thickBot="1">
      <c r="B17" s="16">
        <v>30</v>
      </c>
      <c r="C17" s="2" t="s">
        <v>49</v>
      </c>
      <c r="D17" s="3" t="s">
        <v>49</v>
      </c>
      <c r="E17" s="2">
        <v>1833.7</v>
      </c>
      <c r="F17" s="2">
        <f t="shared" si="0"/>
        <v>8.3490415699130356</v>
      </c>
      <c r="G17" s="32">
        <f t="shared" si="1"/>
        <v>13.476147784645875</v>
      </c>
      <c r="I17" s="18" t="s">
        <v>138</v>
      </c>
      <c r="J17" s="17">
        <v>2.1659999999999999</v>
      </c>
    </row>
    <row r="18" spans="2:10">
      <c r="B18" s="16">
        <v>45</v>
      </c>
      <c r="C18" s="2" t="s">
        <v>49</v>
      </c>
      <c r="D18" s="3" t="s">
        <v>49</v>
      </c>
      <c r="E18" s="2">
        <v>1652.4</v>
      </c>
      <c r="F18" s="2">
        <f t="shared" si="0"/>
        <v>7.5235623548695543</v>
      </c>
      <c r="G18" s="32">
        <f t="shared" si="1"/>
        <v>22.030859245977439</v>
      </c>
    </row>
    <row r="19" spans="2:10">
      <c r="B19" s="16">
        <v>60</v>
      </c>
      <c r="C19" s="2" t="s">
        <v>49</v>
      </c>
      <c r="D19" s="3" t="s">
        <v>49</v>
      </c>
      <c r="E19" s="2">
        <v>1482.2</v>
      </c>
      <c r="F19" s="2">
        <f t="shared" si="0"/>
        <v>6.7486226836042436</v>
      </c>
      <c r="G19" s="32">
        <f t="shared" si="1"/>
        <v>30.061812862737696</v>
      </c>
    </row>
    <row r="20" spans="2:10" ht="15.75" thickBot="1">
      <c r="B20" s="14">
        <v>90</v>
      </c>
      <c r="C20" s="12" t="s">
        <v>49</v>
      </c>
      <c r="D20" s="13" t="s">
        <v>49</v>
      </c>
      <c r="E20" s="12">
        <v>1101.0999999999999</v>
      </c>
      <c r="F20" s="12">
        <f t="shared" si="0"/>
        <v>5.0134316805536585</v>
      </c>
      <c r="G20" s="31">
        <f t="shared" si="1"/>
        <v>48.044165526353041</v>
      </c>
    </row>
  </sheetData>
  <mergeCells count="7">
    <mergeCell ref="H6:H8"/>
    <mergeCell ref="B6:B8"/>
    <mergeCell ref="C6:C8"/>
    <mergeCell ref="D6:D8"/>
    <mergeCell ref="E6:E8"/>
    <mergeCell ref="F6:F8"/>
    <mergeCell ref="G6:G8"/>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D5D9D-1A09-4B30-9B2E-E69424AE7AB7}">
  <dimension ref="B4:M68"/>
  <sheetViews>
    <sheetView zoomScale="62" zoomScaleNormal="84" workbookViewId="0">
      <selection activeCell="AA5" sqref="AA5:AC97"/>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3" ht="15.75">
      <c r="B4" s="10" t="s">
        <v>154</v>
      </c>
    </row>
    <row r="5" spans="2:13" ht="15.75" thickBot="1"/>
    <row r="6" spans="2:13" ht="18.75" thickBot="1">
      <c r="B6" s="30" t="s">
        <v>119</v>
      </c>
      <c r="C6" s="29" t="s">
        <v>36</v>
      </c>
      <c r="D6" s="26" t="s">
        <v>120</v>
      </c>
      <c r="E6" s="30" t="s">
        <v>121</v>
      </c>
      <c r="F6" s="30" t="s">
        <v>122</v>
      </c>
      <c r="G6" s="29" t="s">
        <v>123</v>
      </c>
      <c r="H6" s="28" t="s">
        <v>124</v>
      </c>
    </row>
    <row r="7" spans="2:13" ht="29.45" customHeight="1">
      <c r="B7" s="124" t="s">
        <v>149</v>
      </c>
      <c r="C7" s="122" t="s">
        <v>155</v>
      </c>
      <c r="D7" s="126" t="s">
        <v>156</v>
      </c>
      <c r="E7" s="128" t="s">
        <v>150</v>
      </c>
      <c r="F7" s="128" t="s">
        <v>127</v>
      </c>
      <c r="G7" s="121" t="s">
        <v>151</v>
      </c>
      <c r="H7" s="121" t="s">
        <v>140</v>
      </c>
    </row>
    <row r="8" spans="2:13" ht="37.5" customHeight="1" thickBot="1">
      <c r="B8" s="124"/>
      <c r="C8" s="122"/>
      <c r="D8" s="126"/>
      <c r="E8" s="124"/>
      <c r="F8" s="124"/>
      <c r="G8" s="122"/>
      <c r="H8" s="122"/>
    </row>
    <row r="9" spans="2:13" ht="15.75" thickBot="1">
      <c r="B9" s="125"/>
      <c r="C9" s="123"/>
      <c r="D9" s="127"/>
      <c r="E9" s="125"/>
      <c r="F9" s="125"/>
      <c r="G9" s="123"/>
      <c r="H9" s="123"/>
      <c r="L9" s="24" t="s">
        <v>135</v>
      </c>
      <c r="M9" s="23">
        <v>6.24</v>
      </c>
    </row>
    <row r="10" spans="2:13" ht="15.75" thickBot="1">
      <c r="E10" s="3"/>
      <c r="F10" s="3"/>
      <c r="G10" s="3"/>
      <c r="H10" s="3"/>
      <c r="I10" s="3"/>
      <c r="L10" s="22" t="s">
        <v>136</v>
      </c>
      <c r="M10" s="21">
        <v>4.95</v>
      </c>
    </row>
    <row r="11" spans="2:13" ht="15.75" thickBot="1"/>
    <row r="12" spans="2:13">
      <c r="L12" s="20" t="s">
        <v>137</v>
      </c>
      <c r="M12" s="19">
        <v>1.758</v>
      </c>
    </row>
    <row r="13" spans="2:13" ht="15.75" thickBot="1">
      <c r="L13" s="18" t="s">
        <v>138</v>
      </c>
      <c r="M13" s="17">
        <v>3.7589999999999999</v>
      </c>
    </row>
    <row r="14" spans="2:13" ht="15.75" thickBot="1">
      <c r="B14" s="27" t="s">
        <v>129</v>
      </c>
      <c r="C14" s="26" t="s">
        <v>130</v>
      </c>
      <c r="D14" s="26" t="s">
        <v>131</v>
      </c>
      <c r="E14" s="26" t="s">
        <v>2</v>
      </c>
      <c r="F14" s="26" t="s">
        <v>133</v>
      </c>
      <c r="G14" s="25" t="s">
        <v>134</v>
      </c>
    </row>
    <row r="15" spans="2:13">
      <c r="B15" s="16">
        <v>0</v>
      </c>
      <c r="C15" s="2">
        <v>10.1</v>
      </c>
      <c r="D15" s="3">
        <v>100</v>
      </c>
      <c r="E15" s="2">
        <v>2056.6</v>
      </c>
      <c r="F15" s="2">
        <f t="shared" ref="F15:F21" si="0">(E15)/219.63</f>
        <v>9.3639302463233616</v>
      </c>
      <c r="G15" s="32">
        <f t="shared" ref="G15:G21" si="1">($F$15-F15)/$F$15*100</f>
        <v>0</v>
      </c>
      <c r="H15">
        <f>-LN(F15/$F$15)</f>
        <v>0</v>
      </c>
      <c r="I15" s="1">
        <f>$F$15-F15</f>
        <v>0</v>
      </c>
      <c r="J15">
        <f>(1/F15)-(1/$F$15)</f>
        <v>0</v>
      </c>
    </row>
    <row r="16" spans="2:13">
      <c r="B16" s="16">
        <v>5</v>
      </c>
      <c r="C16" s="2">
        <v>9.9</v>
      </c>
      <c r="D16" s="3">
        <v>100</v>
      </c>
      <c r="E16" s="2">
        <v>1757.7</v>
      </c>
      <c r="F16" s="2">
        <f t="shared" si="0"/>
        <v>8.0030050539543787</v>
      </c>
      <c r="G16" s="32">
        <f t="shared" si="1"/>
        <v>14.53369639210346</v>
      </c>
      <c r="H16">
        <f t="shared" ref="H16:H21" si="2">-LN(F16/$F$15)</f>
        <v>0.15704799757623741</v>
      </c>
      <c r="I16" s="1">
        <f t="shared" ref="I16:I21" si="3">$F$15-F16</f>
        <v>1.3609251923689829</v>
      </c>
      <c r="J16">
        <f t="shared" ref="J16:J21" si="4">(1/F16)-(1/$F$15)</f>
        <v>1.8160298905374544E-2</v>
      </c>
    </row>
    <row r="17" spans="2:10">
      <c r="B17" s="16">
        <v>15</v>
      </c>
      <c r="C17" s="2">
        <v>9.3000000000000007</v>
      </c>
      <c r="D17" s="3">
        <v>100</v>
      </c>
      <c r="E17" s="2">
        <v>1209.0999999999999</v>
      </c>
      <c r="F17" s="2">
        <f t="shared" si="0"/>
        <v>5.505167782179119</v>
      </c>
      <c r="G17" s="32">
        <f t="shared" si="1"/>
        <v>41.208791208791212</v>
      </c>
      <c r="H17">
        <f t="shared" si="2"/>
        <v>0.53117785261488915</v>
      </c>
      <c r="I17" s="1">
        <f t="shared" si="3"/>
        <v>3.8587624641442426</v>
      </c>
      <c r="J17">
        <f t="shared" si="4"/>
        <v>7.4854741652359738E-2</v>
      </c>
    </row>
    <row r="18" spans="2:10">
      <c r="B18" s="16">
        <v>30</v>
      </c>
      <c r="C18" s="2">
        <v>9.4</v>
      </c>
      <c r="D18" s="3">
        <v>100</v>
      </c>
      <c r="E18" s="2">
        <v>795.1</v>
      </c>
      <c r="F18" s="2">
        <f t="shared" si="0"/>
        <v>3.6201793926148524</v>
      </c>
      <c r="G18" s="32">
        <f t="shared" si="1"/>
        <v>61.33910337450159</v>
      </c>
      <c r="H18">
        <f t="shared" si="2"/>
        <v>0.95034151988765236</v>
      </c>
      <c r="I18" s="1">
        <f t="shared" si="3"/>
        <v>5.7437508537085087</v>
      </c>
      <c r="J18">
        <f t="shared" si="4"/>
        <v>0.16943664034890937</v>
      </c>
    </row>
    <row r="19" spans="2:10">
      <c r="B19" s="16">
        <v>45</v>
      </c>
      <c r="C19" s="2">
        <v>8.8000000000000007</v>
      </c>
      <c r="D19" s="3">
        <v>100</v>
      </c>
      <c r="E19" s="2">
        <v>299</v>
      </c>
      <c r="F19" s="2">
        <f t="shared" si="0"/>
        <v>1.361380503574193</v>
      </c>
      <c r="G19" s="32">
        <f t="shared" si="1"/>
        <v>85.461441213653615</v>
      </c>
      <c r="H19">
        <f t="shared" si="2"/>
        <v>1.9283658394044036</v>
      </c>
      <c r="I19" s="1">
        <f t="shared" si="3"/>
        <v>8.002549742749169</v>
      </c>
      <c r="J19">
        <f t="shared" si="4"/>
        <v>0.62775573022591102</v>
      </c>
    </row>
    <row r="20" spans="2:10">
      <c r="B20" s="16">
        <v>60</v>
      </c>
      <c r="C20" s="2">
        <v>8.5</v>
      </c>
      <c r="D20" s="3">
        <v>100</v>
      </c>
      <c r="E20" s="2">
        <v>169.5</v>
      </c>
      <c r="F20" s="2">
        <f t="shared" si="0"/>
        <v>0.7717524928288485</v>
      </c>
      <c r="G20" s="32">
        <f t="shared" si="1"/>
        <v>91.758241758241752</v>
      </c>
      <c r="H20">
        <f t="shared" si="2"/>
        <v>2.4959564859745851</v>
      </c>
      <c r="I20" s="1">
        <f t="shared" si="3"/>
        <v>8.5921777534945125</v>
      </c>
      <c r="J20">
        <f t="shared" si="4"/>
        <v>1.188959447632014</v>
      </c>
    </row>
    <row r="21" spans="2:10" ht="15.75" thickBot="1">
      <c r="B21" s="14">
        <v>90</v>
      </c>
      <c r="C21" s="12">
        <v>8.3000000000000007</v>
      </c>
      <c r="D21" s="13">
        <v>100</v>
      </c>
      <c r="E21" s="12">
        <v>30</v>
      </c>
      <c r="F21" s="12">
        <f t="shared" si="0"/>
        <v>0.13659336156262805</v>
      </c>
      <c r="G21" s="31">
        <f t="shared" si="1"/>
        <v>98.541281727122438</v>
      </c>
      <c r="H21">
        <f t="shared" si="2"/>
        <v>4.227612031132935</v>
      </c>
      <c r="I21" s="1">
        <f t="shared" si="3"/>
        <v>9.2273368847607333</v>
      </c>
      <c r="J21">
        <f t="shared" si="4"/>
        <v>7.2142072352426343</v>
      </c>
    </row>
    <row r="28" spans="2:10" ht="15.75">
      <c r="B28" s="10" t="s">
        <v>157</v>
      </c>
    </row>
    <row r="29" spans="2:10" ht="15.75" thickBot="1"/>
    <row r="30" spans="2:10" ht="18.75" thickBot="1">
      <c r="B30" s="99" t="s">
        <v>119</v>
      </c>
      <c r="C30" s="98" t="s">
        <v>36</v>
      </c>
      <c r="D30" s="100" t="s">
        <v>120</v>
      </c>
      <c r="E30" s="99" t="s">
        <v>121</v>
      </c>
      <c r="F30" s="99" t="s">
        <v>122</v>
      </c>
      <c r="G30" s="98" t="s">
        <v>123</v>
      </c>
      <c r="H30" s="97" t="s">
        <v>124</v>
      </c>
    </row>
    <row r="31" spans="2:10" ht="14.45" customHeight="1">
      <c r="B31" s="124" t="s">
        <v>149</v>
      </c>
      <c r="C31" s="122" t="s">
        <v>155</v>
      </c>
      <c r="D31" s="126" t="s">
        <v>156</v>
      </c>
      <c r="E31" s="128" t="s">
        <v>150</v>
      </c>
      <c r="F31" s="128" t="s">
        <v>127</v>
      </c>
      <c r="G31" s="121" t="s">
        <v>151</v>
      </c>
      <c r="H31" s="121" t="s">
        <v>140</v>
      </c>
    </row>
    <row r="32" spans="2:10">
      <c r="B32" s="124"/>
      <c r="C32" s="122"/>
      <c r="D32" s="126"/>
      <c r="E32" s="124"/>
      <c r="F32" s="124"/>
      <c r="G32" s="122"/>
      <c r="H32" s="122"/>
    </row>
    <row r="33" spans="2:13" ht="34.5" customHeight="1" thickBot="1">
      <c r="B33" s="125"/>
      <c r="C33" s="123"/>
      <c r="D33" s="127"/>
      <c r="E33" s="125"/>
      <c r="F33" s="125"/>
      <c r="G33" s="123"/>
      <c r="H33" s="123"/>
    </row>
    <row r="34" spans="2:13">
      <c r="L34" s="24" t="s">
        <v>135</v>
      </c>
      <c r="M34" s="23">
        <v>6.25</v>
      </c>
    </row>
    <row r="35" spans="2:13" ht="15.75" thickBot="1">
      <c r="L35" s="22" t="s">
        <v>136</v>
      </c>
      <c r="M35" s="21">
        <v>3.35</v>
      </c>
    </row>
    <row r="36" spans="2:13" ht="15.75" thickBot="1"/>
    <row r="37" spans="2:13" ht="15.75" thickBot="1">
      <c r="L37" s="20" t="s">
        <v>137</v>
      </c>
      <c r="M37" s="19">
        <v>1.1339999999999999</v>
      </c>
    </row>
    <row r="38" spans="2:13" ht="15.75" thickBot="1">
      <c r="B38" s="27" t="s">
        <v>129</v>
      </c>
      <c r="C38" s="26" t="s">
        <v>130</v>
      </c>
      <c r="D38" s="26" t="s">
        <v>131</v>
      </c>
      <c r="E38" s="26" t="s">
        <v>132</v>
      </c>
      <c r="F38" s="26" t="s">
        <v>133</v>
      </c>
      <c r="G38" s="25" t="s">
        <v>134</v>
      </c>
      <c r="L38" s="18" t="s">
        <v>138</v>
      </c>
      <c r="M38" s="17">
        <v>3.6440000000000001</v>
      </c>
    </row>
    <row r="39" spans="2:13">
      <c r="B39" s="16">
        <v>0</v>
      </c>
      <c r="C39" s="2">
        <v>10.9</v>
      </c>
      <c r="D39" s="3">
        <v>100</v>
      </c>
      <c r="E39" s="2">
        <v>2114.5</v>
      </c>
      <c r="F39" s="2">
        <f t="shared" ref="F39:F45" si="5">E39/219.63</f>
        <v>9.627555434139234</v>
      </c>
      <c r="G39" s="32">
        <f t="shared" ref="G39:G45" si="6">($F$39-F39)/$F$39*100</f>
        <v>0</v>
      </c>
      <c r="H39">
        <f>-LN(F39/$F$39)</f>
        <v>0</v>
      </c>
      <c r="I39" s="1">
        <f>$F$39-F39</f>
        <v>0</v>
      </c>
      <c r="J39">
        <f>(1/F39)-(1/$F$39)</f>
        <v>0</v>
      </c>
    </row>
    <row r="40" spans="2:13">
      <c r="B40" s="16">
        <v>5</v>
      </c>
      <c r="C40" s="2">
        <v>10.4</v>
      </c>
      <c r="D40" s="3">
        <v>100</v>
      </c>
      <c r="E40" s="2">
        <v>1719.5</v>
      </c>
      <c r="F40" s="2">
        <f t="shared" si="5"/>
        <v>7.8290761735646317</v>
      </c>
      <c r="G40" s="32">
        <f t="shared" si="6"/>
        <v>18.680539134547168</v>
      </c>
      <c r="H40">
        <f t="shared" ref="H40:H45" si="7">-LN(F40/$F$39)</f>
        <v>0.2067848270402223</v>
      </c>
      <c r="I40" s="1">
        <f t="shared" ref="I40:I45" si="8">$F$39-F40</f>
        <v>1.7984792605746023</v>
      </c>
      <c r="J40">
        <f t="shared" ref="J40:J45" si="9">(1/F40)-(1/$F$39)</f>
        <v>2.3860464147255567E-2</v>
      </c>
    </row>
    <row r="41" spans="2:13">
      <c r="B41" s="16">
        <v>15</v>
      </c>
      <c r="C41" s="2">
        <v>9.8000000000000007</v>
      </c>
      <c r="D41" s="3">
        <v>100</v>
      </c>
      <c r="E41" s="2">
        <v>1272.3</v>
      </c>
      <c r="F41" s="2">
        <f t="shared" si="5"/>
        <v>5.7929244638710555</v>
      </c>
      <c r="G41" s="32">
        <f t="shared" si="6"/>
        <v>39.829746985102865</v>
      </c>
      <c r="H41">
        <f t="shared" si="7"/>
        <v>0.5079920917638886</v>
      </c>
      <c r="I41" s="1">
        <f t="shared" si="8"/>
        <v>3.8346309702681785</v>
      </c>
      <c r="J41">
        <f t="shared" si="9"/>
        <v>6.8755854203710942E-2</v>
      </c>
    </row>
    <row r="42" spans="2:13">
      <c r="B42" s="16">
        <v>30</v>
      </c>
      <c r="C42" s="2">
        <v>9.3000000000000007</v>
      </c>
      <c r="D42" s="3">
        <v>100</v>
      </c>
      <c r="E42" s="2">
        <v>713.1</v>
      </c>
      <c r="F42" s="2">
        <f t="shared" si="5"/>
        <v>3.2468242043436693</v>
      </c>
      <c r="G42" s="32">
        <f t="shared" si="6"/>
        <v>66.275715299125082</v>
      </c>
      <c r="H42">
        <f t="shared" si="7"/>
        <v>1.0869519938782852</v>
      </c>
      <c r="I42" s="1">
        <f t="shared" si="8"/>
        <v>6.3807312297955647</v>
      </c>
      <c r="J42">
        <f t="shared" si="9"/>
        <v>0.20412474198775546</v>
      </c>
    </row>
    <row r="43" spans="2:13">
      <c r="B43" s="16">
        <v>45</v>
      </c>
      <c r="C43" s="2">
        <v>9</v>
      </c>
      <c r="D43" s="3">
        <v>100</v>
      </c>
      <c r="E43" s="2">
        <v>171.5</v>
      </c>
      <c r="F43" s="2">
        <f t="shared" si="5"/>
        <v>0.78085871693302378</v>
      </c>
      <c r="G43" s="32">
        <f t="shared" si="6"/>
        <v>91.889335540316864</v>
      </c>
      <c r="H43">
        <f t="shared" si="7"/>
        <v>2.5119903903065484</v>
      </c>
      <c r="I43" s="1">
        <f t="shared" si="8"/>
        <v>8.8466967172062105</v>
      </c>
      <c r="J43">
        <f t="shared" si="9"/>
        <v>1.1767728725784135</v>
      </c>
    </row>
    <row r="44" spans="2:13">
      <c r="B44" s="16">
        <v>60</v>
      </c>
      <c r="C44" s="2">
        <v>8.5</v>
      </c>
      <c r="D44" s="3">
        <v>100</v>
      </c>
      <c r="E44" s="2">
        <v>50.2</v>
      </c>
      <c r="F44" s="2">
        <f t="shared" si="5"/>
        <v>0.22856622501479762</v>
      </c>
      <c r="G44" s="32">
        <f t="shared" si="6"/>
        <v>97.625916292267675</v>
      </c>
      <c r="H44">
        <f t="shared" si="7"/>
        <v>3.7405586302148599</v>
      </c>
      <c r="I44" s="1">
        <f t="shared" si="8"/>
        <v>9.3989892091244371</v>
      </c>
      <c r="J44">
        <f t="shared" si="9"/>
        <v>4.2712310747551294</v>
      </c>
    </row>
    <row r="45" spans="2:13" ht="15.75" thickBot="1">
      <c r="B45" s="14">
        <v>90</v>
      </c>
      <c r="C45" s="12">
        <v>8.1999999999999993</v>
      </c>
      <c r="D45" s="13">
        <v>100</v>
      </c>
      <c r="E45" s="12">
        <v>13.3</v>
      </c>
      <c r="F45" s="12">
        <f t="shared" si="5"/>
        <v>6.0556390292765112E-2</v>
      </c>
      <c r="G45" s="31">
        <f t="shared" si="6"/>
        <v>99.371009694963348</v>
      </c>
      <c r="H45">
        <f t="shared" si="7"/>
        <v>5.0688096216848351</v>
      </c>
      <c r="I45" s="1">
        <f t="shared" si="8"/>
        <v>9.5669990438464687</v>
      </c>
      <c r="J45">
        <f t="shared" si="9"/>
        <v>16.409665307747968</v>
      </c>
    </row>
    <row r="51" spans="2:13" ht="15.75">
      <c r="B51" s="10" t="s">
        <v>158</v>
      </c>
    </row>
    <row r="52" spans="2:13" ht="15.75" thickBot="1"/>
    <row r="53" spans="2:13" ht="18.75" thickBot="1">
      <c r="B53" s="99" t="s">
        <v>119</v>
      </c>
      <c r="C53" s="98" t="s">
        <v>36</v>
      </c>
      <c r="D53" s="100" t="s">
        <v>120</v>
      </c>
      <c r="E53" s="99" t="s">
        <v>121</v>
      </c>
      <c r="F53" s="99" t="s">
        <v>122</v>
      </c>
      <c r="G53" s="98" t="s">
        <v>123</v>
      </c>
      <c r="H53" s="97" t="s">
        <v>124</v>
      </c>
    </row>
    <row r="54" spans="2:13" ht="14.45" customHeight="1">
      <c r="B54" s="124" t="s">
        <v>149</v>
      </c>
      <c r="C54" s="122" t="s">
        <v>155</v>
      </c>
      <c r="D54" s="126" t="s">
        <v>156</v>
      </c>
      <c r="E54" s="128" t="s">
        <v>150</v>
      </c>
      <c r="F54" s="128" t="s">
        <v>127</v>
      </c>
      <c r="G54" s="121" t="s">
        <v>151</v>
      </c>
      <c r="H54" s="121" t="s">
        <v>140</v>
      </c>
    </row>
    <row r="55" spans="2:13">
      <c r="B55" s="124"/>
      <c r="C55" s="122"/>
      <c r="D55" s="126"/>
      <c r="E55" s="124"/>
      <c r="F55" s="124"/>
      <c r="G55" s="122"/>
      <c r="H55" s="122"/>
    </row>
    <row r="56" spans="2:13" ht="26.1" customHeight="1" thickBot="1">
      <c r="B56" s="125"/>
      <c r="C56" s="123"/>
      <c r="D56" s="127"/>
      <c r="E56" s="125"/>
      <c r="F56" s="125"/>
      <c r="G56" s="123"/>
      <c r="H56" s="123"/>
    </row>
    <row r="59" spans="2:13" ht="15.75" thickBot="1"/>
    <row r="60" spans="2:13" ht="15.75" thickBot="1">
      <c r="L60" s="24" t="s">
        <v>135</v>
      </c>
      <c r="M60" s="23">
        <v>5.72</v>
      </c>
    </row>
    <row r="61" spans="2:13" ht="15.75" thickBot="1">
      <c r="B61" s="27" t="s">
        <v>129</v>
      </c>
      <c r="C61" s="26" t="s">
        <v>130</v>
      </c>
      <c r="D61" s="26" t="s">
        <v>131</v>
      </c>
      <c r="E61" s="26" t="s">
        <v>132</v>
      </c>
      <c r="F61" s="26" t="s">
        <v>133</v>
      </c>
      <c r="G61" s="25" t="s">
        <v>134</v>
      </c>
      <c r="K61" s="1"/>
      <c r="L61" s="22" t="s">
        <v>136</v>
      </c>
      <c r="M61" s="21">
        <v>6.96</v>
      </c>
    </row>
    <row r="62" spans="2:13" ht="15.75" thickBot="1">
      <c r="B62" s="16">
        <v>0</v>
      </c>
      <c r="C62" s="2">
        <v>11.6</v>
      </c>
      <c r="D62" s="3">
        <v>100</v>
      </c>
      <c r="E62" s="2">
        <v>2092.6999999999998</v>
      </c>
      <c r="F62" s="2">
        <f t="shared" ref="F62:F68" si="10">E62/219.63</f>
        <v>9.5282975914037245</v>
      </c>
      <c r="G62" s="32">
        <f t="shared" ref="G62:G68" si="11">($F$62-F62)/$F$62*100</f>
        <v>0</v>
      </c>
      <c r="H62">
        <f t="shared" ref="H62:H68" si="12">-LN(F62/$F$62)</f>
        <v>0</v>
      </c>
      <c r="I62" s="1">
        <f>$F$62-F62</f>
        <v>0</v>
      </c>
      <c r="J62">
        <f>(1/F62)-(1/$F$62)</f>
        <v>0</v>
      </c>
      <c r="K62" s="1"/>
    </row>
    <row r="63" spans="2:13">
      <c r="B63" s="16">
        <v>5</v>
      </c>
      <c r="C63" s="2">
        <v>10.9</v>
      </c>
      <c r="D63" s="3">
        <v>100</v>
      </c>
      <c r="E63" s="2">
        <v>1793.8</v>
      </c>
      <c r="F63" s="2">
        <f t="shared" si="10"/>
        <v>8.1673723990347398</v>
      </c>
      <c r="G63" s="32">
        <f t="shared" si="11"/>
        <v>14.282983705261151</v>
      </c>
      <c r="H63">
        <f t="shared" si="12"/>
        <v>0.15411882356272127</v>
      </c>
      <c r="I63" s="1">
        <f t="shared" ref="I63:I68" si="13">$F$62-F63</f>
        <v>1.3609251923689847</v>
      </c>
      <c r="J63">
        <f t="shared" ref="J63:J68" si="14">(1/F63)-(1/$F$62)</f>
        <v>1.7487856568104074E-2</v>
      </c>
      <c r="K63" s="1"/>
      <c r="L63" s="20" t="s">
        <v>137</v>
      </c>
      <c r="M63" s="19">
        <v>3.343</v>
      </c>
    </row>
    <row r="64" spans="2:13" ht="15.75" thickBot="1">
      <c r="B64" s="16">
        <v>15</v>
      </c>
      <c r="C64" s="2">
        <v>9.9</v>
      </c>
      <c r="D64" s="3">
        <v>100</v>
      </c>
      <c r="E64" s="2">
        <v>1374.1</v>
      </c>
      <c r="F64" s="2">
        <f t="shared" si="10"/>
        <v>6.2564312707735734</v>
      </c>
      <c r="G64" s="32">
        <f t="shared" si="11"/>
        <v>34.33841448845989</v>
      </c>
      <c r="H64">
        <f t="shared" si="12"/>
        <v>0.42065612690889531</v>
      </c>
      <c r="I64" s="1">
        <f t="shared" si="13"/>
        <v>3.271866320630151</v>
      </c>
      <c r="J64">
        <f t="shared" si="14"/>
        <v>5.4884986348158415E-2</v>
      </c>
      <c r="K64" s="1"/>
      <c r="L64" s="18" t="s">
        <v>138</v>
      </c>
      <c r="M64" s="17">
        <v>3.41</v>
      </c>
    </row>
    <row r="65" spans="2:11">
      <c r="B65" s="16">
        <v>30</v>
      </c>
      <c r="C65" s="2">
        <v>9.1999999999999993</v>
      </c>
      <c r="D65" s="3">
        <v>100</v>
      </c>
      <c r="E65" s="2">
        <v>899.4</v>
      </c>
      <c r="F65" s="2">
        <f t="shared" si="10"/>
        <v>4.0950689796475892</v>
      </c>
      <c r="G65" s="32">
        <f t="shared" si="11"/>
        <v>57.022028957805702</v>
      </c>
      <c r="H65">
        <f t="shared" si="12"/>
        <v>0.84448250291001681</v>
      </c>
      <c r="I65" s="1">
        <f t="shared" si="13"/>
        <v>5.4332286117561353</v>
      </c>
      <c r="J65">
        <f t="shared" si="14"/>
        <v>0.1392455883922934</v>
      </c>
      <c r="K65" s="1"/>
    </row>
    <row r="66" spans="2:11">
      <c r="B66" s="16">
        <v>45</v>
      </c>
      <c r="C66" s="2">
        <v>8.6</v>
      </c>
      <c r="D66" s="3">
        <v>100</v>
      </c>
      <c r="E66" s="2">
        <v>376.4</v>
      </c>
      <c r="F66" s="2">
        <f t="shared" si="10"/>
        <v>1.7137913764057733</v>
      </c>
      <c r="G66" s="32">
        <f t="shared" si="11"/>
        <v>82.013666555167973</v>
      </c>
      <c r="H66">
        <f t="shared" si="12"/>
        <v>1.7155579695353995</v>
      </c>
      <c r="I66" s="1">
        <f t="shared" si="13"/>
        <v>7.8145062149979516</v>
      </c>
      <c r="J66">
        <f t="shared" si="14"/>
        <v>0.47855105168734174</v>
      </c>
      <c r="K66" s="1"/>
    </row>
    <row r="67" spans="2:11">
      <c r="B67" s="16">
        <v>60</v>
      </c>
      <c r="C67" s="2">
        <v>8.6999999999999993</v>
      </c>
      <c r="D67" s="3">
        <v>100</v>
      </c>
      <c r="E67" s="2">
        <v>98.8</v>
      </c>
      <c r="F67" s="2">
        <f t="shared" si="10"/>
        <v>0.44984747074625508</v>
      </c>
      <c r="G67" s="32">
        <f t="shared" si="11"/>
        <v>95.278826396521239</v>
      </c>
      <c r="H67">
        <f t="shared" si="12"/>
        <v>3.0531127724928018</v>
      </c>
      <c r="I67" s="1">
        <f t="shared" si="13"/>
        <v>9.0784501206574699</v>
      </c>
      <c r="J67">
        <f t="shared" si="14"/>
        <v>2.1180251661404816</v>
      </c>
    </row>
    <row r="68" spans="2:11" ht="15.75" thickBot="1">
      <c r="B68" s="14">
        <v>90</v>
      </c>
      <c r="C68" s="12">
        <v>8.1999999999999993</v>
      </c>
      <c r="D68" s="13">
        <v>100</v>
      </c>
      <c r="E68" s="12">
        <v>11.9</v>
      </c>
      <c r="F68" s="12">
        <f t="shared" si="10"/>
        <v>5.4182033419842464E-2</v>
      </c>
      <c r="G68" s="31">
        <f t="shared" si="11"/>
        <v>99.431356620633636</v>
      </c>
      <c r="H68">
        <f t="shared" si="12"/>
        <v>5.1696719771291404</v>
      </c>
      <c r="I68" s="1">
        <f t="shared" si="13"/>
        <v>9.4741155579838825</v>
      </c>
      <c r="J68">
        <f t="shared" si="14"/>
        <v>18.351351978646861</v>
      </c>
    </row>
  </sheetData>
  <mergeCells count="21">
    <mergeCell ref="H31:H33"/>
    <mergeCell ref="F7:F9"/>
    <mergeCell ref="E31:E33"/>
    <mergeCell ref="E54:E56"/>
    <mergeCell ref="F54:F56"/>
    <mergeCell ref="G54:G56"/>
    <mergeCell ref="H54:H56"/>
    <mergeCell ref="H7:H9"/>
    <mergeCell ref="G7:G9"/>
    <mergeCell ref="F31:F33"/>
    <mergeCell ref="G31:G33"/>
    <mergeCell ref="E7:E9"/>
    <mergeCell ref="B54:B56"/>
    <mergeCell ref="C54:C56"/>
    <mergeCell ref="B7:B9"/>
    <mergeCell ref="C7:C9"/>
    <mergeCell ref="D7:D9"/>
    <mergeCell ref="D54:D56"/>
    <mergeCell ref="B31:B33"/>
    <mergeCell ref="C31:C33"/>
    <mergeCell ref="D31:D33"/>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A4095-7E60-40B4-AC0F-E1F398B2E0B5}">
  <dimension ref="B3:J20"/>
  <sheetViews>
    <sheetView topLeftCell="A3" workbookViewId="0">
      <selection activeCell="F14" sqref="F14"/>
    </sheetView>
  </sheetViews>
  <sheetFormatPr defaultColWidth="11.42578125" defaultRowHeight="15"/>
  <cols>
    <col min="2" max="2" width="23.5703125" customWidth="1"/>
    <col min="3" max="3" width="19.42578125" customWidth="1"/>
    <col min="4" max="4" width="20.7109375" customWidth="1"/>
    <col min="5" max="5" width="18.7109375" customWidth="1"/>
    <col min="6" max="6" width="27" customWidth="1"/>
    <col min="7" max="7" width="18.140625" customWidth="1"/>
    <col min="8" max="8" width="19.140625" customWidth="1"/>
    <col min="9" max="9" width="29.5703125" customWidth="1"/>
  </cols>
  <sheetData>
    <row r="3" spans="2:10" ht="15.75">
      <c r="B3" s="10" t="s">
        <v>154</v>
      </c>
    </row>
    <row r="4" spans="2:10" ht="15.75" thickBot="1"/>
    <row r="5" spans="2:10" ht="18.75" thickBot="1">
      <c r="B5" s="30" t="s">
        <v>119</v>
      </c>
      <c r="C5" s="29" t="s">
        <v>36</v>
      </c>
      <c r="D5" s="26" t="s">
        <v>120</v>
      </c>
      <c r="E5" s="30" t="s">
        <v>121</v>
      </c>
      <c r="F5" s="30" t="s">
        <v>122</v>
      </c>
      <c r="G5" s="29" t="s">
        <v>123</v>
      </c>
      <c r="H5" s="28" t="s">
        <v>124</v>
      </c>
    </row>
    <row r="6" spans="2:10">
      <c r="B6" s="124" t="s">
        <v>149</v>
      </c>
      <c r="C6" s="122" t="s">
        <v>159</v>
      </c>
      <c r="D6" s="126" t="s">
        <v>160</v>
      </c>
      <c r="E6" s="128" t="s">
        <v>150</v>
      </c>
      <c r="F6" s="128" t="s">
        <v>127</v>
      </c>
      <c r="G6" s="121" t="s">
        <v>151</v>
      </c>
      <c r="H6" s="121" t="s">
        <v>140</v>
      </c>
    </row>
    <row r="7" spans="2:10">
      <c r="B7" s="124"/>
      <c r="C7" s="122"/>
      <c r="D7" s="126"/>
      <c r="E7" s="124"/>
      <c r="F7" s="124"/>
      <c r="G7" s="122"/>
      <c r="H7" s="122"/>
    </row>
    <row r="8" spans="2:10" ht="32.1" customHeight="1" thickBot="1">
      <c r="B8" s="125"/>
      <c r="C8" s="123"/>
      <c r="D8" s="127"/>
      <c r="E8" s="125"/>
      <c r="F8" s="125"/>
      <c r="G8" s="123"/>
      <c r="H8" s="123"/>
    </row>
    <row r="9" spans="2:10">
      <c r="E9" s="3"/>
      <c r="F9" s="3"/>
      <c r="G9" s="3"/>
      <c r="H9" s="3"/>
      <c r="I9" s="3"/>
    </row>
    <row r="12" spans="2:10" ht="15.75" thickBot="1"/>
    <row r="13" spans="2:10" ht="15.75" thickBot="1">
      <c r="B13" s="27" t="s">
        <v>129</v>
      </c>
      <c r="C13" s="26" t="s">
        <v>130</v>
      </c>
      <c r="D13" s="26" t="s">
        <v>131</v>
      </c>
      <c r="E13" s="26" t="s">
        <v>2</v>
      </c>
      <c r="F13" s="26" t="s">
        <v>133</v>
      </c>
      <c r="G13" s="25" t="s">
        <v>134</v>
      </c>
      <c r="I13" s="24" t="s">
        <v>135</v>
      </c>
      <c r="J13" s="23">
        <v>6.05</v>
      </c>
    </row>
    <row r="14" spans="2:10" ht="15.75" thickBot="1">
      <c r="B14" s="16">
        <v>0</v>
      </c>
      <c r="C14" s="2">
        <v>9.6</v>
      </c>
      <c r="D14" s="3">
        <v>100</v>
      </c>
      <c r="E14" s="2">
        <v>2097.9</v>
      </c>
      <c r="F14" s="2">
        <f t="shared" ref="F14:F20" si="0">(E14)/219.63</f>
        <v>9.5519737740745807</v>
      </c>
      <c r="G14" s="32">
        <f t="shared" ref="G14:G20" si="1">($F$14-F14)/$F$14*100</f>
        <v>0</v>
      </c>
      <c r="I14" s="22" t="s">
        <v>136</v>
      </c>
      <c r="J14" s="21">
        <v>5.49</v>
      </c>
    </row>
    <row r="15" spans="2:10" ht="15.75" thickBot="1">
      <c r="B15" s="16">
        <v>5</v>
      </c>
      <c r="C15" s="2">
        <v>9.8000000000000007</v>
      </c>
      <c r="D15" s="3">
        <v>100</v>
      </c>
      <c r="E15" s="2">
        <v>1766.8</v>
      </c>
      <c r="F15" s="2">
        <f t="shared" si="0"/>
        <v>8.0444383736283758</v>
      </c>
      <c r="G15" s="32">
        <f t="shared" si="1"/>
        <v>15.782449115782448</v>
      </c>
    </row>
    <row r="16" spans="2:10">
      <c r="B16" s="16">
        <v>15</v>
      </c>
      <c r="C16" s="2">
        <v>9.8000000000000007</v>
      </c>
      <c r="D16" s="3">
        <v>100</v>
      </c>
      <c r="E16" s="2">
        <v>1372.7</v>
      </c>
      <c r="F16" s="2">
        <f t="shared" si="0"/>
        <v>6.250056913900651</v>
      </c>
      <c r="G16" s="32">
        <f t="shared" si="1"/>
        <v>34.567901234567906</v>
      </c>
      <c r="I16" s="20" t="s">
        <v>137</v>
      </c>
      <c r="J16" s="19">
        <v>1.8009999999999999</v>
      </c>
    </row>
    <row r="17" spans="2:10" ht="15.75" thickBot="1">
      <c r="B17" s="16">
        <v>30</v>
      </c>
      <c r="C17" s="2">
        <v>9.1999999999999993</v>
      </c>
      <c r="D17" s="3">
        <v>100</v>
      </c>
      <c r="E17" s="2">
        <v>812.7</v>
      </c>
      <c r="F17" s="2">
        <f t="shared" si="0"/>
        <v>3.7003141647315942</v>
      </c>
      <c r="G17" s="32">
        <f t="shared" si="1"/>
        <v>61.261261261261254</v>
      </c>
      <c r="I17" s="18" t="s">
        <v>138</v>
      </c>
      <c r="J17" s="17">
        <v>3.4039999999999999</v>
      </c>
    </row>
    <row r="18" spans="2:10">
      <c r="B18" s="16">
        <v>45</v>
      </c>
      <c r="C18" s="2">
        <v>8.9</v>
      </c>
      <c r="D18" s="3">
        <v>100</v>
      </c>
      <c r="E18" s="2">
        <v>566.5</v>
      </c>
      <c r="F18" s="2">
        <f t="shared" si="0"/>
        <v>2.5793379775076266</v>
      </c>
      <c r="G18" s="32">
        <f t="shared" si="1"/>
        <v>72.996806330139663</v>
      </c>
    </row>
    <row r="19" spans="2:10">
      <c r="B19" s="16">
        <v>60</v>
      </c>
      <c r="C19" s="2">
        <v>8.1999999999999993</v>
      </c>
      <c r="D19" s="3">
        <v>100</v>
      </c>
      <c r="E19" s="2">
        <v>360.8</v>
      </c>
      <c r="F19" s="2">
        <f t="shared" si="0"/>
        <v>1.6427628283932068</v>
      </c>
      <c r="G19" s="32">
        <f t="shared" si="1"/>
        <v>82.801849468516124</v>
      </c>
    </row>
    <row r="20" spans="2:10" ht="15.75" thickBot="1">
      <c r="B20" s="14">
        <v>90</v>
      </c>
      <c r="C20" s="12">
        <v>7.9</v>
      </c>
      <c r="D20" s="13">
        <v>100</v>
      </c>
      <c r="E20" s="12">
        <v>151.80000000000001</v>
      </c>
      <c r="F20" s="12">
        <f t="shared" si="0"/>
        <v>0.691162409506898</v>
      </c>
      <c r="G20" s="31">
        <f t="shared" si="1"/>
        <v>92.764192764192771</v>
      </c>
    </row>
  </sheetData>
  <mergeCells count="7">
    <mergeCell ref="E6:E8"/>
    <mergeCell ref="F6:F8"/>
    <mergeCell ref="G6:G8"/>
    <mergeCell ref="H6:H8"/>
    <mergeCell ref="B6:B8"/>
    <mergeCell ref="C6:C8"/>
    <mergeCell ref="D6:D8"/>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9EED7-01E5-4937-A587-6004FE1C2FC5}">
  <dimension ref="B4:J68"/>
  <sheetViews>
    <sheetView zoomScale="62" zoomScaleNormal="62" workbookViewId="0">
      <selection activeCell="H10" sqref="H10"/>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149</v>
      </c>
      <c r="C7" s="122" t="s">
        <v>126</v>
      </c>
      <c r="D7" s="126" t="s">
        <v>126</v>
      </c>
      <c r="E7" s="128" t="s">
        <v>126</v>
      </c>
      <c r="F7" s="128" t="s">
        <v>161</v>
      </c>
      <c r="G7" s="121" t="s">
        <v>151</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v>5.89</v>
      </c>
    </row>
    <row r="15" spans="2:10" ht="15.75" thickBot="1">
      <c r="B15" s="16">
        <v>0</v>
      </c>
      <c r="C15" s="2">
        <v>7.9</v>
      </c>
      <c r="D15" s="3">
        <v>50</v>
      </c>
      <c r="E15" s="2">
        <v>2109.3000000000002</v>
      </c>
      <c r="F15" s="2">
        <f t="shared" ref="F15:F21" si="0">(E15)/219.63</f>
        <v>9.6038792514683795</v>
      </c>
      <c r="G15" s="32">
        <f t="shared" ref="G15:G21" si="1">($F$15-F15)/$F$15*100</f>
        <v>0</v>
      </c>
      <c r="I15" s="22" t="s">
        <v>136</v>
      </c>
      <c r="J15" s="21">
        <v>5.53</v>
      </c>
    </row>
    <row r="16" spans="2:10" ht="15.75" thickBot="1">
      <c r="B16" s="16">
        <v>5</v>
      </c>
      <c r="C16" s="2">
        <v>7.8</v>
      </c>
      <c r="D16" s="3">
        <v>50</v>
      </c>
      <c r="E16" s="2">
        <v>1955.2</v>
      </c>
      <c r="F16" s="2">
        <f t="shared" si="0"/>
        <v>8.9022446842416798</v>
      </c>
      <c r="G16" s="32">
        <f t="shared" si="1"/>
        <v>7.3057412411700575</v>
      </c>
    </row>
    <row r="17" spans="2:10">
      <c r="B17" s="16">
        <v>15</v>
      </c>
      <c r="C17" s="2">
        <v>7.7</v>
      </c>
      <c r="D17" s="3">
        <v>50</v>
      </c>
      <c r="E17" s="2">
        <v>1722.7</v>
      </c>
      <c r="F17" s="2">
        <f t="shared" si="0"/>
        <v>7.8436461321313118</v>
      </c>
      <c r="G17" s="32">
        <f t="shared" si="1"/>
        <v>18.328355378561614</v>
      </c>
      <c r="I17" s="20" t="s">
        <v>137</v>
      </c>
      <c r="J17" s="19">
        <v>2.238</v>
      </c>
    </row>
    <row r="18" spans="2:10" ht="15.75" thickBot="1">
      <c r="B18" s="16">
        <v>30</v>
      </c>
      <c r="C18" s="2">
        <v>7.6</v>
      </c>
      <c r="D18" s="3">
        <v>50</v>
      </c>
      <c r="E18" s="2">
        <v>1386.9</v>
      </c>
      <c r="F18" s="2">
        <f t="shared" si="0"/>
        <v>6.3147111050402955</v>
      </c>
      <c r="G18" s="32">
        <f t="shared" si="1"/>
        <v>34.248328829469493</v>
      </c>
      <c r="I18" s="18" t="s">
        <v>138</v>
      </c>
      <c r="J18" s="17">
        <v>2.177</v>
      </c>
    </row>
    <row r="19" spans="2:10">
      <c r="B19" s="16">
        <v>45</v>
      </c>
      <c r="C19" s="2">
        <v>7.6</v>
      </c>
      <c r="D19" s="3">
        <v>50</v>
      </c>
      <c r="E19" s="2">
        <v>1120.8</v>
      </c>
      <c r="F19" s="2">
        <f t="shared" si="0"/>
        <v>5.103127987979784</v>
      </c>
      <c r="G19" s="32">
        <f t="shared" si="1"/>
        <v>46.863888493813121</v>
      </c>
    </row>
    <row r="20" spans="2:10">
      <c r="B20" s="16">
        <v>60</v>
      </c>
      <c r="C20" s="2">
        <v>7.5</v>
      </c>
      <c r="D20" s="3">
        <v>50</v>
      </c>
      <c r="E20" s="2">
        <v>863.1</v>
      </c>
      <c r="F20" s="2">
        <f t="shared" si="0"/>
        <v>3.9297910121568091</v>
      </c>
      <c r="G20" s="32">
        <f t="shared" si="1"/>
        <v>59.081211776418726</v>
      </c>
    </row>
    <row r="21" spans="2:10" ht="15.75" thickBot="1">
      <c r="B21" s="14">
        <v>90</v>
      </c>
      <c r="C21" s="12">
        <v>7.6</v>
      </c>
      <c r="D21" s="13">
        <v>50</v>
      </c>
      <c r="E21" s="12">
        <v>528.6</v>
      </c>
      <c r="F21" s="12">
        <f t="shared" si="0"/>
        <v>2.4067750307335065</v>
      </c>
      <c r="G21" s="31">
        <f t="shared" si="1"/>
        <v>74.939553406343336</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12.6"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12.95"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0866141732283472" right="0.70866141732283472" top="0.74803149606299213" bottom="0.74803149606299213" header="0.31496062992125984" footer="0.31496062992125984"/>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54723-C2A0-4038-B573-F18E78945E88}">
  <dimension ref="B4:N68"/>
  <sheetViews>
    <sheetView topLeftCell="F14" zoomScale="84" workbookViewId="0">
      <selection activeCell="K22" sqref="K22"/>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4" ht="15.75">
      <c r="B4" s="10"/>
    </row>
    <row r="5" spans="2:14" ht="15.75" thickBot="1"/>
    <row r="6" spans="2:14" ht="18.75" thickBot="1">
      <c r="B6" s="30" t="s">
        <v>119</v>
      </c>
      <c r="C6" s="29" t="s">
        <v>36</v>
      </c>
      <c r="D6" s="26" t="s">
        <v>120</v>
      </c>
      <c r="E6" s="30" t="s">
        <v>121</v>
      </c>
      <c r="F6" s="30" t="s">
        <v>122</v>
      </c>
      <c r="G6" s="29" t="s">
        <v>123</v>
      </c>
      <c r="H6" s="28" t="s">
        <v>124</v>
      </c>
    </row>
    <row r="7" spans="2:14" ht="29.45" customHeight="1">
      <c r="B7" s="124" t="s">
        <v>149</v>
      </c>
      <c r="C7" s="122" t="s">
        <v>126</v>
      </c>
      <c r="D7" s="126" t="s">
        <v>126</v>
      </c>
      <c r="E7" s="128" t="s">
        <v>126</v>
      </c>
      <c r="F7" s="128" t="s">
        <v>162</v>
      </c>
      <c r="G7" s="121" t="s">
        <v>151</v>
      </c>
      <c r="H7" s="121" t="s">
        <v>140</v>
      </c>
    </row>
    <row r="8" spans="2:14" ht="37.5" customHeight="1">
      <c r="B8" s="124"/>
      <c r="C8" s="122"/>
      <c r="D8" s="126"/>
      <c r="E8" s="124"/>
      <c r="F8" s="124"/>
      <c r="G8" s="122"/>
      <c r="H8" s="122"/>
    </row>
    <row r="9" spans="2:14" ht="15.75" thickBot="1">
      <c r="B9" s="125"/>
      <c r="C9" s="123"/>
      <c r="D9" s="127"/>
      <c r="E9" s="125"/>
      <c r="F9" s="125"/>
      <c r="G9" s="123"/>
      <c r="H9" s="123"/>
    </row>
    <row r="10" spans="2:14">
      <c r="E10" s="3"/>
      <c r="F10" s="3"/>
      <c r="G10" s="3"/>
      <c r="H10" s="3"/>
      <c r="I10" s="3"/>
    </row>
    <row r="13" spans="2:14" ht="15.75" thickBot="1"/>
    <row r="14" spans="2:14" ht="15.75" thickBot="1">
      <c r="B14" s="27" t="s">
        <v>129</v>
      </c>
      <c r="C14" s="26" t="s">
        <v>130</v>
      </c>
      <c r="D14" s="26" t="s">
        <v>131</v>
      </c>
      <c r="E14" s="26" t="s">
        <v>2</v>
      </c>
      <c r="F14" s="26" t="s">
        <v>133</v>
      </c>
      <c r="G14" s="25" t="s">
        <v>134</v>
      </c>
      <c r="I14" s="24" t="s">
        <v>135</v>
      </c>
      <c r="J14" s="23">
        <v>6.17</v>
      </c>
    </row>
    <row r="15" spans="2:14" ht="15.75" thickBot="1">
      <c r="B15" s="16">
        <v>0</v>
      </c>
      <c r="C15" s="2">
        <v>5.2</v>
      </c>
      <c r="D15" s="3">
        <v>25</v>
      </c>
      <c r="E15" s="2">
        <v>2095.1</v>
      </c>
      <c r="F15" s="2">
        <f t="shared" ref="F15:F21" si="0">(E15)/219.63</f>
        <v>9.5392250603287341</v>
      </c>
      <c r="G15" s="32">
        <f t="shared" ref="G15:G21" si="1">($F$15-F15)/$F$15*100</f>
        <v>0</v>
      </c>
      <c r="I15" s="22" t="s">
        <v>136</v>
      </c>
      <c r="J15" s="21">
        <v>4.59</v>
      </c>
      <c r="L15">
        <f>-LN(F15/$F$15)</f>
        <v>0</v>
      </c>
      <c r="M15" s="1">
        <f>$F$15-F15</f>
        <v>0</v>
      </c>
      <c r="N15">
        <f>(1/F15)-(1/$F$15)</f>
        <v>0</v>
      </c>
    </row>
    <row r="16" spans="2:14" ht="15.75" thickBot="1">
      <c r="B16" s="16">
        <v>5</v>
      </c>
      <c r="C16" s="2">
        <v>5.3</v>
      </c>
      <c r="D16" s="3">
        <v>25</v>
      </c>
      <c r="E16" s="2">
        <v>1951.6</v>
      </c>
      <c r="F16" s="2">
        <f t="shared" si="0"/>
        <v>8.8858534808541627</v>
      </c>
      <c r="G16" s="32">
        <f t="shared" si="1"/>
        <v>6.8493150684931559</v>
      </c>
      <c r="L16">
        <f t="shared" ref="L16:L21" si="2">-LN(F16/$F$15)</f>
        <v>7.0951735972284491E-2</v>
      </c>
      <c r="M16" s="1">
        <f t="shared" ref="M16:M21" si="3">$F$15-F16</f>
        <v>0.65337157947457136</v>
      </c>
      <c r="N16">
        <f t="shared" ref="N16:N21" si="4">(1/F16)-(1/$F$15)</f>
        <v>7.7081116442567765E-3</v>
      </c>
    </row>
    <row r="17" spans="2:14">
      <c r="B17" s="16">
        <v>15</v>
      </c>
      <c r="C17" s="2">
        <v>5.3</v>
      </c>
      <c r="D17" s="3">
        <v>25</v>
      </c>
      <c r="E17" s="2">
        <v>1719.3</v>
      </c>
      <c r="F17" s="2">
        <f t="shared" si="0"/>
        <v>7.8281655511542141</v>
      </c>
      <c r="G17" s="32">
        <f t="shared" si="1"/>
        <v>17.937091308290768</v>
      </c>
      <c r="I17" s="20" t="s">
        <v>137</v>
      </c>
      <c r="J17" s="19">
        <v>2.0470000000000002</v>
      </c>
      <c r="L17">
        <f t="shared" si="2"/>
        <v>0.19768405368816497</v>
      </c>
      <c r="M17" s="1">
        <f t="shared" si="3"/>
        <v>1.71105950917452</v>
      </c>
      <c r="N17">
        <f t="shared" si="4"/>
        <v>2.2913530879078117E-2</v>
      </c>
    </row>
    <row r="18" spans="2:14" ht="15.75" thickBot="1">
      <c r="B18" s="16">
        <v>30</v>
      </c>
      <c r="C18" s="2">
        <v>5.3</v>
      </c>
      <c r="D18" s="3">
        <v>25</v>
      </c>
      <c r="E18" s="2">
        <v>1451.1</v>
      </c>
      <c r="F18" s="2">
        <f t="shared" si="0"/>
        <v>6.6070208987843184</v>
      </c>
      <c r="G18" s="32">
        <f t="shared" si="1"/>
        <v>30.738389575676585</v>
      </c>
      <c r="I18" s="18" t="s">
        <v>138</v>
      </c>
      <c r="J18" s="17">
        <v>1.9059999999999999</v>
      </c>
      <c r="L18">
        <f t="shared" si="2"/>
        <v>0.3672793954169194</v>
      </c>
      <c r="M18" s="1">
        <f t="shared" si="3"/>
        <v>2.9322041615444157</v>
      </c>
      <c r="N18">
        <f t="shared" si="4"/>
        <v>4.6523826769387697E-2</v>
      </c>
    </row>
    <row r="19" spans="2:14">
      <c r="B19" s="16">
        <v>45</v>
      </c>
      <c r="C19" s="2">
        <v>5.4</v>
      </c>
      <c r="D19" s="3">
        <v>25</v>
      </c>
      <c r="E19" s="2">
        <v>1215.8</v>
      </c>
      <c r="F19" s="2">
        <f t="shared" si="0"/>
        <v>5.5356736329281064</v>
      </c>
      <c r="G19" s="32">
        <f t="shared" si="1"/>
        <v>41.969357071261513</v>
      </c>
      <c r="L19">
        <f t="shared" si="2"/>
        <v>0.54419898859934446</v>
      </c>
      <c r="M19" s="1">
        <f t="shared" si="3"/>
        <v>4.0035514274006276</v>
      </c>
      <c r="N19">
        <f t="shared" si="4"/>
        <v>7.5816169547303566E-2</v>
      </c>
    </row>
    <row r="20" spans="2:14">
      <c r="B20" s="16">
        <v>60</v>
      </c>
      <c r="C20" s="2">
        <v>5.4</v>
      </c>
      <c r="D20" s="3">
        <v>25</v>
      </c>
      <c r="E20" s="2">
        <v>1036.4000000000001</v>
      </c>
      <c r="F20" s="2">
        <f t="shared" si="0"/>
        <v>4.7188453307835907</v>
      </c>
      <c r="G20" s="32">
        <f t="shared" si="1"/>
        <v>50.532194167342851</v>
      </c>
      <c r="L20">
        <f t="shared" si="2"/>
        <v>0.70384811522601154</v>
      </c>
      <c r="M20" s="1">
        <f t="shared" si="3"/>
        <v>4.8203797295451434</v>
      </c>
      <c r="N20">
        <f t="shared" si="4"/>
        <v>0.10708593019079031</v>
      </c>
    </row>
    <row r="21" spans="2:14" ht="15.75" thickBot="1">
      <c r="B21" s="14">
        <v>90</v>
      </c>
      <c r="C21" s="12">
        <v>5.4</v>
      </c>
      <c r="D21" s="3">
        <v>25</v>
      </c>
      <c r="E21" s="12">
        <v>729.5</v>
      </c>
      <c r="F21" s="12">
        <f t="shared" si="0"/>
        <v>3.3214952419979058</v>
      </c>
      <c r="G21" s="31">
        <f t="shared" si="1"/>
        <v>65.18065963438498</v>
      </c>
      <c r="L21">
        <f t="shared" si="2"/>
        <v>1.0549971959511262</v>
      </c>
      <c r="M21" s="1">
        <f t="shared" si="3"/>
        <v>6.2177298183308283</v>
      </c>
      <c r="N21">
        <f t="shared" si="4"/>
        <v>0.19623890713502362</v>
      </c>
    </row>
    <row r="28" spans="2:14" ht="15.75">
      <c r="B28" s="10"/>
    </row>
    <row r="30" spans="2:14">
      <c r="B30" s="8"/>
      <c r="C30" s="8"/>
      <c r="D30" s="9"/>
      <c r="E30" s="8"/>
      <c r="F30" s="8"/>
      <c r="G30" s="8"/>
      <c r="H30" s="8"/>
    </row>
    <row r="31" spans="2:14" ht="14.45" customHeight="1">
      <c r="B31" s="7"/>
      <c r="C31" s="7"/>
      <c r="D31" s="7"/>
      <c r="E31" s="7"/>
      <c r="F31" s="7"/>
      <c r="G31" s="7"/>
      <c r="H31" s="7"/>
    </row>
    <row r="32" spans="2:14">
      <c r="B32" s="7"/>
      <c r="C32" s="7"/>
      <c r="D32" s="7"/>
      <c r="E32" s="7"/>
      <c r="F32" s="7"/>
      <c r="G32" s="7"/>
      <c r="H32" s="7"/>
    </row>
    <row r="33" spans="2:10" ht="12.6"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12.95"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97F0F-1E13-450B-892E-FF838100374C}">
  <dimension ref="B4:J68"/>
  <sheetViews>
    <sheetView topLeftCell="D10" zoomScale="62" zoomScaleNormal="68" workbookViewId="0">
      <selection activeCell="Q30" sqref="Q30"/>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149</v>
      </c>
      <c r="C7" s="122" t="s">
        <v>163</v>
      </c>
      <c r="D7" s="126" t="s">
        <v>126</v>
      </c>
      <c r="E7" s="128" t="s">
        <v>126</v>
      </c>
      <c r="F7" s="128" t="s">
        <v>162</v>
      </c>
      <c r="G7" s="121" t="s">
        <v>151</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v>5.35</v>
      </c>
    </row>
    <row r="15" spans="2:10" ht="15.75" thickBot="1">
      <c r="B15" s="16">
        <v>0</v>
      </c>
      <c r="C15" s="2">
        <v>5.4</v>
      </c>
      <c r="D15" s="3">
        <v>25</v>
      </c>
      <c r="E15" s="2">
        <v>2108.1999999999998</v>
      </c>
      <c r="F15" s="2">
        <f t="shared" ref="F15:F21" si="0">(E15)/219.63</f>
        <v>9.5988708282110817</v>
      </c>
      <c r="G15" s="32">
        <f t="shared" ref="G15:G21" si="1">($F$15-F15)/$F$15*100</f>
        <v>0</v>
      </c>
      <c r="H15">
        <f>-LN(F15/$F$15)</f>
        <v>0</v>
      </c>
      <c r="I15" s="22" t="s">
        <v>136</v>
      </c>
      <c r="J15" s="21">
        <v>3.55</v>
      </c>
    </row>
    <row r="16" spans="2:10" ht="15.75" thickBot="1">
      <c r="B16" s="16">
        <v>5</v>
      </c>
      <c r="C16" s="2">
        <v>5.4</v>
      </c>
      <c r="D16" s="3">
        <v>25</v>
      </c>
      <c r="E16" s="2">
        <v>1885</v>
      </c>
      <c r="F16" s="2">
        <f t="shared" si="0"/>
        <v>8.5826162181851302</v>
      </c>
      <c r="G16" s="32">
        <f t="shared" si="1"/>
        <v>10.587230813015831</v>
      </c>
      <c r="H16">
        <f t="shared" ref="H16:H21" si="2">-LN(F16/$F$15)</f>
        <v>0.1119066819389776</v>
      </c>
    </row>
    <row r="17" spans="2:10">
      <c r="B17" s="16">
        <v>15</v>
      </c>
      <c r="C17" s="2">
        <v>5.3</v>
      </c>
      <c r="D17" s="3">
        <v>25</v>
      </c>
      <c r="E17" s="2">
        <v>1519.6</v>
      </c>
      <c r="F17" s="2">
        <f t="shared" si="0"/>
        <v>6.9189090743523192</v>
      </c>
      <c r="G17" s="32">
        <f t="shared" si="1"/>
        <v>27.919552224646623</v>
      </c>
      <c r="H17">
        <f t="shared" si="2"/>
        <v>0.3273873605076183</v>
      </c>
      <c r="I17" s="20" t="s">
        <v>137</v>
      </c>
      <c r="J17" s="19">
        <v>2.0459999999999998</v>
      </c>
    </row>
    <row r="18" spans="2:10" ht="15.75" thickBot="1">
      <c r="B18" s="16">
        <v>30</v>
      </c>
      <c r="C18" s="2">
        <v>5.3</v>
      </c>
      <c r="D18" s="3">
        <v>25</v>
      </c>
      <c r="E18" s="2">
        <v>1028.4000000000001</v>
      </c>
      <c r="F18" s="2">
        <f t="shared" si="0"/>
        <v>4.6824204343668905</v>
      </c>
      <c r="G18" s="32">
        <f t="shared" si="1"/>
        <v>51.219049426050645</v>
      </c>
      <c r="H18">
        <f t="shared" si="2"/>
        <v>0.71783030642935419</v>
      </c>
      <c r="I18" s="18" t="s">
        <v>138</v>
      </c>
      <c r="J18" s="17">
        <v>2.1419999999999999</v>
      </c>
    </row>
    <row r="19" spans="2:10">
      <c r="B19" s="16">
        <v>45</v>
      </c>
      <c r="C19" s="2">
        <v>5.2</v>
      </c>
      <c r="D19" s="3">
        <v>25</v>
      </c>
      <c r="E19" s="2">
        <v>582.5</v>
      </c>
      <c r="F19" s="2">
        <f t="shared" si="0"/>
        <v>2.6521877703410279</v>
      </c>
      <c r="G19" s="32">
        <f t="shared" si="1"/>
        <v>72.36979413717863</v>
      </c>
      <c r="H19">
        <f t="shared" si="2"/>
        <v>1.286260596381233</v>
      </c>
    </row>
    <row r="20" spans="2:10">
      <c r="B20" s="16">
        <v>60</v>
      </c>
      <c r="C20" s="2">
        <v>5.2</v>
      </c>
      <c r="D20" s="3">
        <v>25</v>
      </c>
      <c r="E20" s="2">
        <v>452.2</v>
      </c>
      <c r="F20" s="2">
        <f t="shared" si="0"/>
        <v>2.0589172699540135</v>
      </c>
      <c r="G20" s="32">
        <f t="shared" si="1"/>
        <v>78.55042216108528</v>
      </c>
      <c r="H20">
        <f t="shared" si="2"/>
        <v>1.5394652219772194</v>
      </c>
    </row>
    <row r="21" spans="2:10" ht="15.75" thickBot="1">
      <c r="B21" s="14">
        <v>90</v>
      </c>
      <c r="C21" s="12">
        <v>5.2</v>
      </c>
      <c r="D21" s="13">
        <v>25</v>
      </c>
      <c r="E21" s="12">
        <v>310.5</v>
      </c>
      <c r="F21" s="12">
        <f t="shared" si="0"/>
        <v>1.4137412921732004</v>
      </c>
      <c r="G21" s="31">
        <f t="shared" si="1"/>
        <v>85.2717958447965</v>
      </c>
      <c r="H21">
        <f t="shared" si="2"/>
        <v>1.9154058804475553</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D6994-3BE7-48B0-80FA-8115843F936B}">
  <dimension ref="B5:D70"/>
  <sheetViews>
    <sheetView topLeftCell="C7" workbookViewId="0">
      <selection activeCell="L13" sqref="L13"/>
    </sheetView>
  </sheetViews>
  <sheetFormatPr defaultColWidth="11.42578125" defaultRowHeight="15"/>
  <cols>
    <col min="2" max="2" width="13.7109375" customWidth="1"/>
    <col min="3" max="3" width="23.5703125" customWidth="1"/>
    <col min="4" max="4" width="14.42578125" customWidth="1"/>
    <col min="5" max="5" width="19.140625" customWidth="1"/>
    <col min="6" max="6" width="19.5703125" customWidth="1"/>
    <col min="13" max="14" width="13.42578125" customWidth="1"/>
  </cols>
  <sheetData>
    <row r="5" spans="2:4" ht="15.75">
      <c r="B5" s="112" t="s">
        <v>4</v>
      </c>
      <c r="C5" s="112"/>
      <c r="D5" s="112"/>
    </row>
    <row r="6" spans="2:4">
      <c r="B6" t="s">
        <v>1</v>
      </c>
    </row>
    <row r="7" spans="2:4" ht="15.75" thickBot="1"/>
    <row r="8" spans="2:4" ht="15.75" thickBot="1">
      <c r="B8" s="105" t="s">
        <v>2</v>
      </c>
      <c r="C8" s="104" t="s">
        <v>3</v>
      </c>
    </row>
    <row r="9" spans="2:4">
      <c r="B9" s="37">
        <v>99.7</v>
      </c>
      <c r="C9" s="15">
        <v>0.5</v>
      </c>
    </row>
    <row r="10" spans="2:4">
      <c r="B10" s="37">
        <v>203.7</v>
      </c>
      <c r="C10" s="15">
        <v>1</v>
      </c>
    </row>
    <row r="11" spans="2:4">
      <c r="B11" s="37">
        <v>290.7</v>
      </c>
      <c r="C11" s="15">
        <v>1.5</v>
      </c>
    </row>
    <row r="12" spans="2:4">
      <c r="B12" s="37">
        <v>399.2</v>
      </c>
      <c r="C12" s="15">
        <v>2</v>
      </c>
    </row>
    <row r="13" spans="2:4">
      <c r="B13" s="37">
        <v>511.6</v>
      </c>
      <c r="C13" s="15">
        <v>2.5</v>
      </c>
    </row>
    <row r="14" spans="2:4">
      <c r="B14" s="37">
        <v>843.5</v>
      </c>
      <c r="C14" s="15">
        <v>4</v>
      </c>
    </row>
    <row r="15" spans="2:4">
      <c r="B15" s="37">
        <v>1066.2</v>
      </c>
      <c r="C15" s="15">
        <v>5</v>
      </c>
    </row>
    <row r="16" spans="2:4">
      <c r="B16" s="37">
        <v>1495.1</v>
      </c>
      <c r="C16" s="15">
        <v>7</v>
      </c>
    </row>
    <row r="17" spans="2:3">
      <c r="B17" s="37">
        <v>1854.5</v>
      </c>
      <c r="C17" s="15">
        <v>8.5</v>
      </c>
    </row>
    <row r="18" spans="2:3" ht="15.75" thickBot="1">
      <c r="B18" s="42">
        <v>2291.6999999999998</v>
      </c>
      <c r="C18" s="11">
        <v>10</v>
      </c>
    </row>
    <row r="57" spans="2:4" ht="15.75">
      <c r="B57" s="112"/>
      <c r="C57" s="112"/>
      <c r="D57" s="112"/>
    </row>
    <row r="59" spans="2:4">
      <c r="B59" s="103"/>
      <c r="C59" s="103"/>
    </row>
    <row r="60" spans="2:4">
      <c r="B60" s="4"/>
      <c r="C60" s="102"/>
    </row>
    <row r="61" spans="2:4">
      <c r="B61" s="4"/>
      <c r="C61" s="102"/>
    </row>
    <row r="62" spans="2:4">
      <c r="B62" s="4"/>
      <c r="C62" s="102"/>
    </row>
    <row r="63" spans="2:4">
      <c r="B63" s="4"/>
      <c r="C63" s="102"/>
    </row>
    <row r="64" spans="2:4">
      <c r="B64" s="4"/>
      <c r="C64" s="102"/>
    </row>
    <row r="65" spans="2:3">
      <c r="B65" s="4"/>
      <c r="C65" s="102"/>
    </row>
    <row r="66" spans="2:3">
      <c r="B66" s="4"/>
      <c r="C66" s="102"/>
    </row>
    <row r="67" spans="2:3">
      <c r="B67" s="4"/>
      <c r="C67" s="102"/>
    </row>
    <row r="68" spans="2:3">
      <c r="B68" s="4"/>
      <c r="C68" s="102"/>
    </row>
    <row r="69" spans="2:3">
      <c r="B69" s="4"/>
      <c r="C69" s="102"/>
    </row>
    <row r="70" spans="2:3">
      <c r="B70" s="4"/>
      <c r="C70" s="102"/>
    </row>
  </sheetData>
  <mergeCells count="2">
    <mergeCell ref="B5:D5"/>
    <mergeCell ref="B57:D57"/>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21730-5C80-43F3-9E11-612FCFBFA134}">
  <dimension ref="B4:N21"/>
  <sheetViews>
    <sheetView topLeftCell="D3" zoomScale="46" workbookViewId="0">
      <selection activeCell="S19" sqref="S19"/>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4" ht="15.75">
      <c r="B4" s="10"/>
    </row>
    <row r="5" spans="2:14" ht="15.75" thickBot="1"/>
    <row r="6" spans="2:14" ht="18.75" thickBot="1">
      <c r="B6" s="30" t="s">
        <v>119</v>
      </c>
      <c r="C6" s="29" t="s">
        <v>36</v>
      </c>
      <c r="D6" s="26" t="s">
        <v>120</v>
      </c>
      <c r="E6" s="30" t="s">
        <v>121</v>
      </c>
      <c r="F6" s="30" t="s">
        <v>122</v>
      </c>
      <c r="G6" s="29" t="s">
        <v>123</v>
      </c>
      <c r="H6" s="28" t="s">
        <v>124</v>
      </c>
    </row>
    <row r="7" spans="2:14" ht="29.45" customHeight="1">
      <c r="B7" s="124" t="s">
        <v>149</v>
      </c>
      <c r="C7" s="122" t="s">
        <v>164</v>
      </c>
      <c r="D7" s="126" t="s">
        <v>153</v>
      </c>
      <c r="E7" s="128" t="s">
        <v>150</v>
      </c>
      <c r="F7" s="128" t="s">
        <v>162</v>
      </c>
      <c r="G7" s="121" t="s">
        <v>151</v>
      </c>
      <c r="H7" s="121" t="s">
        <v>140</v>
      </c>
    </row>
    <row r="8" spans="2:14" ht="37.5" customHeight="1">
      <c r="B8" s="124"/>
      <c r="C8" s="122"/>
      <c r="D8" s="126"/>
      <c r="E8" s="124"/>
      <c r="F8" s="124"/>
      <c r="G8" s="122"/>
      <c r="H8" s="122"/>
    </row>
    <row r="9" spans="2:14" ht="15.75" thickBot="1">
      <c r="B9" s="125"/>
      <c r="C9" s="123"/>
      <c r="D9" s="127"/>
      <c r="E9" s="125"/>
      <c r="F9" s="125"/>
      <c r="G9" s="123"/>
      <c r="H9" s="123"/>
    </row>
    <row r="10" spans="2:14">
      <c r="E10" s="3"/>
      <c r="F10" s="3"/>
      <c r="G10" s="3"/>
      <c r="H10" s="3"/>
      <c r="I10" s="3"/>
    </row>
    <row r="13" spans="2:14" ht="15.75" thickBot="1"/>
    <row r="14" spans="2:14" ht="15.75" thickBot="1">
      <c r="B14" s="27" t="s">
        <v>129</v>
      </c>
      <c r="C14" s="26" t="s">
        <v>130</v>
      </c>
      <c r="D14" s="26" t="s">
        <v>131</v>
      </c>
      <c r="E14" s="26" t="s">
        <v>2</v>
      </c>
      <c r="F14" s="26" t="s">
        <v>133</v>
      </c>
      <c r="G14" s="25" t="s">
        <v>134</v>
      </c>
      <c r="I14" s="24" t="s">
        <v>135</v>
      </c>
      <c r="J14" s="23">
        <v>5.49</v>
      </c>
    </row>
    <row r="15" spans="2:14" ht="15.75" thickBot="1">
      <c r="B15" s="16">
        <v>0</v>
      </c>
      <c r="C15" s="2">
        <v>5</v>
      </c>
      <c r="D15" s="3">
        <v>25</v>
      </c>
      <c r="E15" s="2">
        <v>2100.1</v>
      </c>
      <c r="F15" s="2">
        <f t="shared" ref="F15:F21" si="0">(E15)/219.63</f>
        <v>9.5619906205891727</v>
      </c>
      <c r="G15" s="32">
        <f t="shared" ref="G15:G21" si="1">($F$15-F15)/$F$15*100</f>
        <v>0</v>
      </c>
      <c r="I15" s="22" t="s">
        <v>136</v>
      </c>
      <c r="J15" s="21">
        <v>3.57</v>
      </c>
      <c r="L15">
        <f>-LN(F15/$F$15)</f>
        <v>0</v>
      </c>
      <c r="M15" s="1">
        <f>$F$15-F15</f>
        <v>0</v>
      </c>
      <c r="N15">
        <f>(1/F15)-(1/$F$15)</f>
        <v>0</v>
      </c>
    </row>
    <row r="16" spans="2:14" ht="15.75" thickBot="1">
      <c r="B16" s="16">
        <v>5</v>
      </c>
      <c r="C16" s="2">
        <v>4.9000000000000004</v>
      </c>
      <c r="D16" s="3">
        <v>25</v>
      </c>
      <c r="E16" s="2">
        <v>1898.6</v>
      </c>
      <c r="F16" s="2">
        <f t="shared" si="0"/>
        <v>8.644538542093521</v>
      </c>
      <c r="G16" s="32">
        <f t="shared" si="1"/>
        <v>9.5947812008951949</v>
      </c>
      <c r="L16">
        <f t="shared" ref="L16:L21" si="2">-LN(F16/$F$15)</f>
        <v>0.10086819017768446</v>
      </c>
      <c r="M16" s="1">
        <f t="shared" ref="M16:M21" si="3">$F$15-F16</f>
        <v>0.91745207849565169</v>
      </c>
      <c r="N16">
        <f t="shared" ref="N16:N21" si="4">(1/F16)-(1/$F$15)</f>
        <v>1.1099240467463453E-2</v>
      </c>
    </row>
    <row r="17" spans="2:14">
      <c r="B17" s="16">
        <v>15</v>
      </c>
      <c r="C17" s="2">
        <v>4.9000000000000004</v>
      </c>
      <c r="D17" s="3">
        <v>25</v>
      </c>
      <c r="E17" s="2">
        <v>1548.4</v>
      </c>
      <c r="F17" s="2">
        <f t="shared" si="0"/>
        <v>7.0500387014524435</v>
      </c>
      <c r="G17" s="32">
        <f t="shared" si="1"/>
        <v>26.270177610589961</v>
      </c>
      <c r="I17" s="20" t="s">
        <v>137</v>
      </c>
      <c r="J17" s="19">
        <v>2.2320000000000002</v>
      </c>
      <c r="L17">
        <f t="shared" si="2"/>
        <v>0.30476282292188939</v>
      </c>
      <c r="M17" s="1">
        <f t="shared" si="3"/>
        <v>2.5119519191367292</v>
      </c>
      <c r="N17">
        <f t="shared" si="4"/>
        <v>3.7262458722641903E-2</v>
      </c>
    </row>
    <row r="18" spans="2:14" ht="15.75" thickBot="1">
      <c r="B18" s="16">
        <v>30</v>
      </c>
      <c r="C18" s="2">
        <v>4.8</v>
      </c>
      <c r="D18" s="3">
        <v>25</v>
      </c>
      <c r="E18" s="2">
        <v>1048.3</v>
      </c>
      <c r="F18" s="2">
        <f t="shared" si="0"/>
        <v>4.7730273642034327</v>
      </c>
      <c r="G18" s="32">
        <f t="shared" si="1"/>
        <v>50.083329365268327</v>
      </c>
      <c r="I18" s="18" t="s">
        <v>138</v>
      </c>
      <c r="J18" s="17">
        <v>2.3580000000000001</v>
      </c>
      <c r="L18">
        <f t="shared" si="2"/>
        <v>0.69481515816685568</v>
      </c>
      <c r="M18" s="1">
        <f t="shared" si="3"/>
        <v>4.7889632563857401</v>
      </c>
      <c r="N18">
        <f t="shared" si="4"/>
        <v>0.10492990201749387</v>
      </c>
    </row>
    <row r="19" spans="2:14">
      <c r="B19" s="16">
        <v>45</v>
      </c>
      <c r="C19" s="2">
        <v>4.7</v>
      </c>
      <c r="D19" s="3">
        <v>25</v>
      </c>
      <c r="E19" s="2">
        <v>750.7</v>
      </c>
      <c r="F19" s="2">
        <f t="shared" si="0"/>
        <v>3.4180212175021629</v>
      </c>
      <c r="G19" s="32">
        <f t="shared" si="1"/>
        <v>64.254083138898139</v>
      </c>
      <c r="L19">
        <f t="shared" si="2"/>
        <v>1.0287341370464258</v>
      </c>
      <c r="M19" s="1">
        <f t="shared" si="3"/>
        <v>6.1439694030870093</v>
      </c>
      <c r="N19">
        <f t="shared" si="4"/>
        <v>0.18798620327422666</v>
      </c>
    </row>
    <row r="20" spans="2:14">
      <c r="B20" s="16">
        <v>60</v>
      </c>
      <c r="C20" s="2">
        <v>4.5999999999999996</v>
      </c>
      <c r="D20" s="3">
        <v>25</v>
      </c>
      <c r="E20" s="2">
        <v>374.6</v>
      </c>
      <c r="F20" s="2">
        <f t="shared" si="0"/>
        <v>1.7055957747120158</v>
      </c>
      <c r="G20" s="32">
        <f t="shared" si="1"/>
        <v>82.16275415456407</v>
      </c>
      <c r="L20">
        <f t="shared" si="2"/>
        <v>1.7238814516153942</v>
      </c>
      <c r="M20" s="1">
        <f t="shared" si="3"/>
        <v>7.8563948458771566</v>
      </c>
      <c r="N20">
        <f t="shared" si="4"/>
        <v>0.48172465816782972</v>
      </c>
    </row>
    <row r="21" spans="2:14" ht="15.75" thickBot="1">
      <c r="B21" s="14">
        <v>90</v>
      </c>
      <c r="C21" s="12">
        <v>4.5999999999999996</v>
      </c>
      <c r="D21" s="13">
        <v>25</v>
      </c>
      <c r="E21" s="12">
        <v>108.4</v>
      </c>
      <c r="F21" s="12">
        <f t="shared" si="0"/>
        <v>0.49355734644629606</v>
      </c>
      <c r="G21" s="31">
        <f t="shared" si="1"/>
        <v>94.838341031379443</v>
      </c>
      <c r="L21">
        <f t="shared" si="2"/>
        <v>2.9639121526198364</v>
      </c>
      <c r="M21" s="1">
        <f t="shared" si="3"/>
        <v>9.0684332741428761</v>
      </c>
      <c r="N21">
        <f t="shared" si="4"/>
        <v>1.9215262768193608</v>
      </c>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8FF70-DDB8-40C8-9F5C-78379B656B89}">
  <dimension ref="A1"/>
  <sheetViews>
    <sheetView topLeftCell="A24" zoomScale="108" zoomScaleNormal="108" workbookViewId="0">
      <selection activeCell="M78" sqref="M78"/>
    </sheetView>
  </sheetViews>
  <sheetFormatPr defaultColWidth="11.42578125" defaultRowHeight="15"/>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186C8-C755-47E2-8FC2-164862AF65FC}">
  <dimension ref="B4:J68"/>
  <sheetViews>
    <sheetView zoomScale="64" zoomScaleNormal="64" workbookViewId="0">
      <selection activeCell="E29" sqref="E29"/>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165</v>
      </c>
      <c r="C7" s="122" t="s">
        <v>126</v>
      </c>
      <c r="D7" s="126" t="s">
        <v>126</v>
      </c>
      <c r="E7" s="128" t="s">
        <v>150</v>
      </c>
      <c r="F7" s="128" t="s">
        <v>126</v>
      </c>
      <c r="G7" s="121" t="s">
        <v>126</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v>5.38</v>
      </c>
    </row>
    <row r="15" spans="2:10" ht="15.75" thickBot="1">
      <c r="B15" s="36">
        <v>0</v>
      </c>
      <c r="C15" s="34" t="s">
        <v>49</v>
      </c>
      <c r="D15" s="35" t="s">
        <v>49</v>
      </c>
      <c r="E15" s="34">
        <v>5080.8</v>
      </c>
      <c r="F15" s="34">
        <f>E15/209.57</f>
        <v>24.243928043135945</v>
      </c>
      <c r="G15" s="41">
        <f t="shared" ref="G15:G25" si="0">($F$15-F15)/$F$15*100</f>
        <v>0</v>
      </c>
      <c r="I15" s="22" t="s">
        <v>136</v>
      </c>
      <c r="J15" s="21">
        <v>5.16</v>
      </c>
    </row>
    <row r="16" spans="2:10" ht="15.75" thickBot="1">
      <c r="B16" s="16">
        <v>5</v>
      </c>
      <c r="C16" s="2" t="s">
        <v>49</v>
      </c>
      <c r="D16" s="3" t="s">
        <v>49</v>
      </c>
      <c r="E16" s="2">
        <v>5082.2</v>
      </c>
      <c r="F16" s="2">
        <f t="shared" ref="F16:F25" si="1">E16/209.57</f>
        <v>24.25060838860524</v>
      </c>
      <c r="G16" s="15">
        <f t="shared" si="0"/>
        <v>-2.7554715792792336E-2</v>
      </c>
    </row>
    <row r="17" spans="2:10">
      <c r="B17" s="16">
        <v>15</v>
      </c>
      <c r="C17" s="2" t="s">
        <v>49</v>
      </c>
      <c r="D17" s="3" t="s">
        <v>49</v>
      </c>
      <c r="E17" s="2">
        <v>5053.8999999999996</v>
      </c>
      <c r="F17" s="2">
        <f t="shared" si="1"/>
        <v>24.11556997661879</v>
      </c>
      <c r="G17" s="15">
        <f t="shared" si="0"/>
        <v>0.52944418201858257</v>
      </c>
      <c r="I17" s="20" t="s">
        <v>137</v>
      </c>
      <c r="J17" s="19">
        <v>2.177</v>
      </c>
    </row>
    <row r="18" spans="2:10" ht="15.75" thickBot="1">
      <c r="B18" s="16">
        <v>30</v>
      </c>
      <c r="C18" s="2" t="s">
        <v>49</v>
      </c>
      <c r="D18" s="3" t="s">
        <v>49</v>
      </c>
      <c r="E18" s="2">
        <v>5080.7</v>
      </c>
      <c r="F18" s="2">
        <f t="shared" si="1"/>
        <v>24.243450875602424</v>
      </c>
      <c r="G18" s="15">
        <f t="shared" si="0"/>
        <v>1.9681939852004993E-3</v>
      </c>
      <c r="I18" s="18" t="s">
        <v>138</v>
      </c>
      <c r="J18" s="17">
        <v>2.1429999999999998</v>
      </c>
    </row>
    <row r="19" spans="2:10">
      <c r="B19" s="16">
        <v>60</v>
      </c>
      <c r="C19" s="2" t="s">
        <v>49</v>
      </c>
      <c r="D19" s="3" t="s">
        <v>49</v>
      </c>
      <c r="E19" s="2">
        <v>5104.8999999999996</v>
      </c>
      <c r="F19" s="2">
        <f t="shared" si="1"/>
        <v>24.358925418714509</v>
      </c>
      <c r="G19" s="15">
        <f t="shared" si="0"/>
        <v>-0.474334750432998</v>
      </c>
    </row>
    <row r="20" spans="2:10">
      <c r="B20" s="16">
        <v>90</v>
      </c>
      <c r="C20" s="2" t="s">
        <v>49</v>
      </c>
      <c r="D20" s="3" t="s">
        <v>49</v>
      </c>
      <c r="E20" s="2">
        <v>5120.8</v>
      </c>
      <c r="F20" s="2">
        <f t="shared" si="1"/>
        <v>24.434795056544356</v>
      </c>
      <c r="G20" s="15">
        <f t="shared" si="0"/>
        <v>-0.78727759407968678</v>
      </c>
    </row>
    <row r="21" spans="2:10">
      <c r="B21" s="16">
        <v>120</v>
      </c>
      <c r="C21" s="2" t="s">
        <v>49</v>
      </c>
      <c r="D21" s="3" t="s">
        <v>49</v>
      </c>
      <c r="E21" s="2">
        <v>5146.5</v>
      </c>
      <c r="F21" s="2">
        <f t="shared" si="1"/>
        <v>24.557427112659255</v>
      </c>
      <c r="G21" s="15">
        <f t="shared" si="0"/>
        <v>-1.2931034482758634</v>
      </c>
    </row>
    <row r="22" spans="2:10">
      <c r="B22" s="16">
        <v>150</v>
      </c>
      <c r="C22" s="2" t="s">
        <v>49</v>
      </c>
      <c r="D22" s="3" t="s">
        <v>49</v>
      </c>
      <c r="E22" s="2">
        <v>5071.8999999999996</v>
      </c>
      <c r="F22" s="2">
        <f t="shared" si="1"/>
        <v>24.201460132652574</v>
      </c>
      <c r="G22" s="15">
        <f t="shared" si="0"/>
        <v>0.1751692646827272</v>
      </c>
    </row>
    <row r="23" spans="2:10">
      <c r="B23" s="16">
        <v>180</v>
      </c>
      <c r="C23" s="2" t="s">
        <v>49</v>
      </c>
      <c r="D23" s="3" t="s">
        <v>49</v>
      </c>
      <c r="E23" s="2">
        <v>5150.6000000000004</v>
      </c>
      <c r="F23" s="2">
        <f t="shared" si="1"/>
        <v>24.576990981533619</v>
      </c>
      <c r="G23" s="15">
        <f t="shared" si="0"/>
        <v>-1.3737994016690398</v>
      </c>
    </row>
    <row r="24" spans="2:10">
      <c r="B24" s="16">
        <v>210</v>
      </c>
      <c r="C24" s="2" t="s">
        <v>49</v>
      </c>
      <c r="D24" s="3" t="s">
        <v>49</v>
      </c>
      <c r="E24" s="2">
        <v>5200.7</v>
      </c>
      <c r="F24" s="2">
        <f t="shared" si="1"/>
        <v>24.816051915827646</v>
      </c>
      <c r="G24" s="15">
        <f t="shared" si="0"/>
        <v>-2.3598645882538163</v>
      </c>
    </row>
    <row r="25" spans="2:10" ht="15.75" thickBot="1">
      <c r="B25" s="14">
        <v>240</v>
      </c>
      <c r="C25" s="12" t="s">
        <v>49</v>
      </c>
      <c r="D25" s="13" t="s">
        <v>49</v>
      </c>
      <c r="E25" s="12">
        <v>5186.7</v>
      </c>
      <c r="F25" s="12">
        <f t="shared" si="1"/>
        <v>24.749248461134705</v>
      </c>
      <c r="G25" s="11">
        <f t="shared" si="0"/>
        <v>-2.0843174303259366</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34642-C23C-4F1D-8315-6109C8669093}">
  <dimension ref="B4:J68"/>
  <sheetViews>
    <sheetView topLeftCell="A4" zoomScale="65" zoomScaleNormal="65" workbookViewId="0">
      <selection activeCell="J9" sqref="J9"/>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165</v>
      </c>
      <c r="C7" s="122" t="s">
        <v>126</v>
      </c>
      <c r="D7" s="126" t="s">
        <v>126</v>
      </c>
      <c r="E7" s="128" t="s">
        <v>126</v>
      </c>
      <c r="F7" s="128" t="s">
        <v>162</v>
      </c>
      <c r="G7" s="121" t="s">
        <v>151</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v>5.2</v>
      </c>
    </row>
    <row r="15" spans="2:10" ht="15.75" thickBot="1">
      <c r="B15" s="36">
        <v>0</v>
      </c>
      <c r="C15" s="34">
        <v>4.7</v>
      </c>
      <c r="D15" s="35">
        <v>25</v>
      </c>
      <c r="E15" s="34">
        <v>5034.2</v>
      </c>
      <c r="F15" s="34">
        <f>(E15-84.948)/205.36</f>
        <v>24.100370081807554</v>
      </c>
      <c r="G15" s="33">
        <f t="shared" ref="G15:G25" si="0">($F$15-F15)/$F$15*100</f>
        <v>0</v>
      </c>
      <c r="I15" s="22" t="s">
        <v>136</v>
      </c>
      <c r="J15" s="21">
        <v>3.96</v>
      </c>
    </row>
    <row r="16" spans="2:10" ht="15.75" thickBot="1">
      <c r="B16" s="16">
        <v>5</v>
      </c>
      <c r="C16" s="2">
        <v>4.8</v>
      </c>
      <c r="D16" s="3">
        <v>25</v>
      </c>
      <c r="E16" s="2">
        <v>4727</v>
      </c>
      <c r="F16" s="2">
        <f>E16/209.57</f>
        <v>22.555709309538578</v>
      </c>
      <c r="G16" s="32">
        <f t="shared" si="0"/>
        <v>6.4092823762693234</v>
      </c>
    </row>
    <row r="17" spans="2:10">
      <c r="B17" s="16">
        <v>15</v>
      </c>
      <c r="C17" s="2">
        <v>4.8</v>
      </c>
      <c r="D17" s="3">
        <v>25</v>
      </c>
      <c r="E17" s="2">
        <v>4224.1000000000004</v>
      </c>
      <c r="F17" s="2">
        <f t="shared" ref="F17:F25" si="1">E17/209.57</f>
        <v>20.156033783461375</v>
      </c>
      <c r="G17" s="32">
        <f t="shared" si="0"/>
        <v>16.366289334799916</v>
      </c>
      <c r="I17" s="20" t="s">
        <v>137</v>
      </c>
      <c r="J17" s="19">
        <v>2.2250000000000001</v>
      </c>
    </row>
    <row r="18" spans="2:10" ht="15.75" thickBot="1">
      <c r="B18" s="16">
        <v>30</v>
      </c>
      <c r="C18" s="2">
        <v>4.8</v>
      </c>
      <c r="D18" s="3">
        <v>25</v>
      </c>
      <c r="E18" s="2">
        <v>3589.3</v>
      </c>
      <c r="F18" s="2">
        <f t="shared" si="1"/>
        <v>17.126974280669945</v>
      </c>
      <c r="G18" s="32">
        <f t="shared" si="0"/>
        <v>28.934807961316572</v>
      </c>
      <c r="I18" s="18" t="s">
        <v>138</v>
      </c>
      <c r="J18" s="17">
        <v>2.319</v>
      </c>
    </row>
    <row r="19" spans="2:10">
      <c r="B19" s="16">
        <v>60</v>
      </c>
      <c r="C19" s="2">
        <v>4.8</v>
      </c>
      <c r="D19" s="3">
        <v>25</v>
      </c>
      <c r="E19" s="2">
        <v>2532.6999999999998</v>
      </c>
      <c r="F19" s="2">
        <f t="shared" si="1"/>
        <v>12.085222121486854</v>
      </c>
      <c r="G19" s="32">
        <f t="shared" si="0"/>
        <v>49.854620155358006</v>
      </c>
    </row>
    <row r="20" spans="2:10">
      <c r="B20" s="16">
        <v>90</v>
      </c>
      <c r="C20" s="2">
        <v>4.9000000000000004</v>
      </c>
      <c r="D20" s="3">
        <v>25</v>
      </c>
      <c r="E20" s="2">
        <v>1758.2</v>
      </c>
      <c r="F20" s="2">
        <f t="shared" si="1"/>
        <v>8.3895595743665599</v>
      </c>
      <c r="G20" s="32">
        <f t="shared" si="0"/>
        <v>65.189084043570276</v>
      </c>
    </row>
    <row r="21" spans="2:10">
      <c r="B21" s="16">
        <v>120</v>
      </c>
      <c r="C21" s="2">
        <v>4.8</v>
      </c>
      <c r="D21" s="3">
        <v>25</v>
      </c>
      <c r="E21" s="2">
        <v>1175.5999999999999</v>
      </c>
      <c r="F21" s="2">
        <f t="shared" si="1"/>
        <v>5.6095815240731017</v>
      </c>
      <c r="G21" s="32">
        <f t="shared" si="0"/>
        <v>76.724085542953731</v>
      </c>
    </row>
    <row r="22" spans="2:10">
      <c r="B22" s="16">
        <v>150</v>
      </c>
      <c r="C22" s="2">
        <v>4.9000000000000004</v>
      </c>
      <c r="D22" s="3">
        <v>25</v>
      </c>
      <c r="E22" s="2">
        <v>764.1</v>
      </c>
      <c r="F22" s="2">
        <f t="shared" si="1"/>
        <v>3.646037123634108</v>
      </c>
      <c r="G22" s="32">
        <f t="shared" si="0"/>
        <v>84.871447570067133</v>
      </c>
    </row>
    <row r="23" spans="2:10">
      <c r="B23" s="16">
        <v>180</v>
      </c>
      <c r="C23" s="2">
        <v>4.9000000000000004</v>
      </c>
      <c r="D23" s="3">
        <v>25</v>
      </c>
      <c r="E23" s="2">
        <v>536.29999999999995</v>
      </c>
      <c r="F23" s="2">
        <f t="shared" si="1"/>
        <v>2.5590494822732262</v>
      </c>
      <c r="G23" s="32">
        <f t="shared" si="0"/>
        <v>89.38170047353357</v>
      </c>
    </row>
    <row r="24" spans="2:10">
      <c r="B24" s="16">
        <v>210</v>
      </c>
      <c r="C24" s="2">
        <v>4.9000000000000004</v>
      </c>
      <c r="D24" s="3">
        <v>25</v>
      </c>
      <c r="E24" s="2">
        <v>351.9</v>
      </c>
      <c r="F24" s="2">
        <f t="shared" si="1"/>
        <v>1.6791525504604665</v>
      </c>
      <c r="G24" s="32">
        <f t="shared" si="0"/>
        <v>93.032669022257082</v>
      </c>
    </row>
    <row r="25" spans="2:10" ht="15.75" thickBot="1">
      <c r="B25" s="14">
        <v>240</v>
      </c>
      <c r="C25" s="12">
        <v>4.9000000000000004</v>
      </c>
      <c r="D25" s="13">
        <v>25</v>
      </c>
      <c r="E25" s="12">
        <v>218.7</v>
      </c>
      <c r="F25" s="12">
        <f t="shared" si="1"/>
        <v>1.0435653958104691</v>
      </c>
      <c r="G25" s="31">
        <f t="shared" si="0"/>
        <v>95.669919622528056</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5973A-26D6-4D6D-BFDB-CE0354679C45}">
  <dimension ref="B4:J68"/>
  <sheetViews>
    <sheetView topLeftCell="A3" zoomScale="69" zoomScaleNormal="69" workbookViewId="0">
      <selection activeCell="L4" sqref="L4"/>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165</v>
      </c>
      <c r="C7" s="122" t="s">
        <v>166</v>
      </c>
      <c r="D7" s="126" t="s">
        <v>126</v>
      </c>
      <c r="E7" s="128" t="s">
        <v>126</v>
      </c>
      <c r="F7" s="128" t="s">
        <v>162</v>
      </c>
      <c r="G7" s="121" t="s">
        <v>151</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v>5.51</v>
      </c>
    </row>
    <row r="15" spans="2:10" ht="15.75" thickBot="1">
      <c r="B15" s="36">
        <v>0</v>
      </c>
      <c r="C15" s="34">
        <v>5</v>
      </c>
      <c r="D15" s="35">
        <v>25</v>
      </c>
      <c r="E15" s="34">
        <v>5048.8</v>
      </c>
      <c r="F15" s="34">
        <f>E15/209.57</f>
        <v>24.09123443240922</v>
      </c>
      <c r="G15" s="33">
        <f t="shared" ref="G15:G25" si="0">($F$15-F15)/$F$15*100</f>
        <v>0</v>
      </c>
      <c r="I15" s="22" t="s">
        <v>136</v>
      </c>
      <c r="J15" s="21">
        <v>4.08</v>
      </c>
    </row>
    <row r="16" spans="2:10" ht="15.75" thickBot="1">
      <c r="B16" s="16">
        <v>5</v>
      </c>
      <c r="C16" s="2">
        <v>5</v>
      </c>
      <c r="D16" s="3">
        <v>25</v>
      </c>
      <c r="E16" s="2">
        <v>4661.6000000000004</v>
      </c>
      <c r="F16" s="2">
        <f>E16/209.57</f>
        <v>22.243641742615836</v>
      </c>
      <c r="G16" s="32">
        <f t="shared" si="0"/>
        <v>7.6691491047377491</v>
      </c>
    </row>
    <row r="17" spans="2:10">
      <c r="B17" s="16">
        <v>15</v>
      </c>
      <c r="C17" s="2">
        <v>5</v>
      </c>
      <c r="D17" s="3">
        <v>25</v>
      </c>
      <c r="E17" s="2">
        <v>4196.3999999999996</v>
      </c>
      <c r="F17" s="2">
        <f t="shared" ref="F17:F25" si="1">E17/209.57</f>
        <v>20.023858376676049</v>
      </c>
      <c r="G17" s="32">
        <f t="shared" si="0"/>
        <v>16.883219774996046</v>
      </c>
      <c r="I17" s="20" t="s">
        <v>137</v>
      </c>
      <c r="J17" s="19">
        <v>2.286</v>
      </c>
    </row>
    <row r="18" spans="2:10" ht="15.75" thickBot="1">
      <c r="B18" s="16">
        <v>30</v>
      </c>
      <c r="C18" s="2">
        <v>5</v>
      </c>
      <c r="D18" s="3">
        <v>25</v>
      </c>
      <c r="E18" s="2">
        <v>3393.9</v>
      </c>
      <c r="F18" s="2">
        <f t="shared" si="1"/>
        <v>16.194588920169874</v>
      </c>
      <c r="G18" s="32">
        <f t="shared" si="0"/>
        <v>32.778085881793686</v>
      </c>
      <c r="I18" s="18" t="s">
        <v>138</v>
      </c>
      <c r="J18" s="17">
        <v>2.6240000000000001</v>
      </c>
    </row>
    <row r="19" spans="2:10">
      <c r="B19" s="16">
        <v>60</v>
      </c>
      <c r="C19" s="2">
        <v>5</v>
      </c>
      <c r="D19" s="3">
        <v>25</v>
      </c>
      <c r="E19" s="2">
        <v>1963.2</v>
      </c>
      <c r="F19" s="2">
        <f t="shared" si="1"/>
        <v>9.3677530180846507</v>
      </c>
      <c r="G19" s="32">
        <f t="shared" si="0"/>
        <v>61.115512597052756</v>
      </c>
    </row>
    <row r="20" spans="2:10">
      <c r="B20" s="16">
        <v>90</v>
      </c>
      <c r="C20" s="2">
        <v>5</v>
      </c>
      <c r="D20" s="3">
        <v>25</v>
      </c>
      <c r="E20" s="2">
        <v>1237.3</v>
      </c>
      <c r="F20" s="2">
        <f t="shared" si="1"/>
        <v>5.9039938922555706</v>
      </c>
      <c r="G20" s="32">
        <f t="shared" si="0"/>
        <v>75.493186499762317</v>
      </c>
    </row>
    <row r="21" spans="2:10">
      <c r="B21" s="16">
        <v>120</v>
      </c>
      <c r="C21" s="2">
        <v>5.0999999999999996</v>
      </c>
      <c r="D21" s="3">
        <v>25</v>
      </c>
      <c r="E21" s="2">
        <v>944.3</v>
      </c>
      <c r="F21" s="2">
        <f t="shared" si="1"/>
        <v>4.5058930190389841</v>
      </c>
      <c r="G21" s="32">
        <f t="shared" si="0"/>
        <v>81.296545713832998</v>
      </c>
    </row>
    <row r="22" spans="2:10">
      <c r="B22" s="16">
        <v>150</v>
      </c>
      <c r="C22" s="2">
        <v>5.3</v>
      </c>
      <c r="D22" s="3">
        <v>25</v>
      </c>
      <c r="E22" s="2">
        <v>756.6</v>
      </c>
      <c r="F22" s="2">
        <f t="shared" si="1"/>
        <v>3.6102495586200316</v>
      </c>
      <c r="G22" s="32">
        <f t="shared" si="0"/>
        <v>85.014260814450964</v>
      </c>
    </row>
    <row r="23" spans="2:10">
      <c r="B23" s="16">
        <v>180</v>
      </c>
      <c r="C23" s="2">
        <v>5.3</v>
      </c>
      <c r="D23" s="3">
        <v>25</v>
      </c>
      <c r="E23" s="2">
        <v>484.2</v>
      </c>
      <c r="F23" s="2">
        <f t="shared" si="1"/>
        <v>2.3104451973087752</v>
      </c>
      <c r="G23" s="32">
        <f t="shared" si="0"/>
        <v>90.409602281730301</v>
      </c>
    </row>
    <row r="24" spans="2:10">
      <c r="B24" s="16">
        <v>210</v>
      </c>
      <c r="C24" s="2">
        <v>5</v>
      </c>
      <c r="D24" s="3">
        <v>25</v>
      </c>
      <c r="E24" s="2">
        <v>518.1</v>
      </c>
      <c r="F24" s="2">
        <f t="shared" si="1"/>
        <v>2.4722049911724007</v>
      </c>
      <c r="G24" s="32">
        <f t="shared" si="0"/>
        <v>89.738155601331002</v>
      </c>
    </row>
    <row r="25" spans="2:10" ht="15.75" thickBot="1">
      <c r="B25" s="14">
        <v>240</v>
      </c>
      <c r="C25" s="12">
        <v>5.2</v>
      </c>
      <c r="D25" s="13">
        <v>25</v>
      </c>
      <c r="E25" s="12">
        <v>318.7</v>
      </c>
      <c r="F25" s="12">
        <f t="shared" si="1"/>
        <v>1.5207329293314882</v>
      </c>
      <c r="G25" s="31">
        <f t="shared" si="0"/>
        <v>93.687608936777053</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9518E-7447-4ABC-A22D-247F9361D299}">
  <dimension ref="B4:L68"/>
  <sheetViews>
    <sheetView topLeftCell="A13" zoomScale="59" zoomScaleNormal="59" workbookViewId="0">
      <selection activeCell="N21" sqref="N21"/>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2" ht="15.75">
      <c r="B4" s="10"/>
    </row>
    <row r="5" spans="2:12" ht="15.75" thickBot="1"/>
    <row r="6" spans="2:12" ht="18.75" thickBot="1">
      <c r="B6" s="30" t="s">
        <v>119</v>
      </c>
      <c r="C6" s="29" t="s">
        <v>36</v>
      </c>
      <c r="D6" s="26" t="s">
        <v>120</v>
      </c>
      <c r="E6" s="30" t="s">
        <v>121</v>
      </c>
      <c r="F6" s="30" t="s">
        <v>122</v>
      </c>
      <c r="G6" s="29" t="s">
        <v>123</v>
      </c>
      <c r="H6" s="28" t="s">
        <v>124</v>
      </c>
    </row>
    <row r="7" spans="2:12" ht="29.45" customHeight="1">
      <c r="B7" s="124" t="s">
        <v>165</v>
      </c>
      <c r="C7" s="122">
        <v>0.106</v>
      </c>
      <c r="D7" s="126">
        <v>0.186</v>
      </c>
      <c r="E7" s="128" t="s">
        <v>150</v>
      </c>
      <c r="F7" s="128" t="s">
        <v>162</v>
      </c>
      <c r="G7" s="121" t="s">
        <v>151</v>
      </c>
      <c r="H7" s="121" t="s">
        <v>140</v>
      </c>
    </row>
    <row r="8" spans="2:12" ht="37.5" customHeight="1">
      <c r="B8" s="124"/>
      <c r="C8" s="122"/>
      <c r="D8" s="126"/>
      <c r="E8" s="124"/>
      <c r="F8" s="124"/>
      <c r="G8" s="122"/>
      <c r="H8" s="122"/>
    </row>
    <row r="9" spans="2:12" ht="15.75" thickBot="1">
      <c r="B9" s="125"/>
      <c r="C9" s="123"/>
      <c r="D9" s="127"/>
      <c r="E9" s="125"/>
      <c r="F9" s="125"/>
      <c r="G9" s="123"/>
      <c r="H9" s="123"/>
    </row>
    <row r="10" spans="2:12">
      <c r="E10" s="3"/>
      <c r="F10" s="3"/>
      <c r="G10" s="3"/>
      <c r="H10" s="3"/>
      <c r="I10" s="3"/>
    </row>
    <row r="13" spans="2:12" ht="15.75" thickBot="1"/>
    <row r="14" spans="2:12" ht="15.75" thickBot="1">
      <c r="B14" s="27" t="s">
        <v>129</v>
      </c>
      <c r="C14" s="26" t="s">
        <v>130</v>
      </c>
      <c r="D14" s="26" t="s">
        <v>131</v>
      </c>
      <c r="E14" s="26" t="s">
        <v>2</v>
      </c>
      <c r="F14" s="26" t="s">
        <v>133</v>
      </c>
      <c r="G14" s="25" t="s">
        <v>134</v>
      </c>
      <c r="I14" s="24" t="s">
        <v>135</v>
      </c>
      <c r="J14" s="23">
        <v>5.55</v>
      </c>
    </row>
    <row r="15" spans="2:12" ht="15.75" thickBot="1">
      <c r="B15" s="36">
        <v>0</v>
      </c>
      <c r="C15" s="34">
        <v>5.0999999999999996</v>
      </c>
      <c r="D15" s="35">
        <v>25</v>
      </c>
      <c r="E15" s="34">
        <v>5067.3999999999996</v>
      </c>
      <c r="F15" s="34">
        <f>E15/209.57</f>
        <v>24.179987593644128</v>
      </c>
      <c r="G15" s="33">
        <f t="shared" ref="G15:G25" si="0">($F$15-F15)/$F$15*100</f>
        <v>0</v>
      </c>
      <c r="I15" s="22" t="s">
        <v>136</v>
      </c>
      <c r="J15" s="21">
        <v>4.5599999999999996</v>
      </c>
      <c r="L15">
        <f>-LN(F15/$F$15)</f>
        <v>0</v>
      </c>
    </row>
    <row r="16" spans="2:12" ht="15.75" thickBot="1">
      <c r="B16" s="16">
        <v>5</v>
      </c>
      <c r="C16" s="2">
        <v>5.0999999999999996</v>
      </c>
      <c r="D16" s="3">
        <v>25</v>
      </c>
      <c r="E16" s="2">
        <v>4555.2</v>
      </c>
      <c r="F16" s="2">
        <f>E16/209.57</f>
        <v>21.735935486949469</v>
      </c>
      <c r="G16" s="32">
        <f t="shared" si="0"/>
        <v>10.10774756285274</v>
      </c>
      <c r="L16">
        <f t="shared" ref="L16:L25" si="1">-LN(F16/$F$15)</f>
        <v>0.10655842801122403</v>
      </c>
    </row>
    <row r="17" spans="2:12">
      <c r="B17" s="16">
        <v>15</v>
      </c>
      <c r="C17" s="2">
        <v>5</v>
      </c>
      <c r="D17" s="3">
        <v>25</v>
      </c>
      <c r="E17" s="2">
        <v>3969.6</v>
      </c>
      <c r="F17" s="2">
        <f t="shared" ref="F17:F25" si="2">E17/209.57</f>
        <v>18.941642410650381</v>
      </c>
      <c r="G17" s="32">
        <f t="shared" si="0"/>
        <v>21.663969688597696</v>
      </c>
      <c r="I17" s="20" t="s">
        <v>137</v>
      </c>
      <c r="J17" s="19">
        <v>2.2330000000000001</v>
      </c>
      <c r="L17">
        <f t="shared" si="1"/>
        <v>0.24416253159746051</v>
      </c>
    </row>
    <row r="18" spans="2:12" ht="15.75" thickBot="1">
      <c r="B18" s="16">
        <v>30</v>
      </c>
      <c r="C18" s="2">
        <v>4.8</v>
      </c>
      <c r="D18" s="3">
        <v>25</v>
      </c>
      <c r="E18" s="2">
        <v>2844.3</v>
      </c>
      <c r="F18" s="2">
        <f t="shared" si="2"/>
        <v>13.572076155938351</v>
      </c>
      <c r="G18" s="32">
        <f t="shared" si="0"/>
        <v>43.87062398863322</v>
      </c>
      <c r="I18" s="18" t="s">
        <v>138</v>
      </c>
      <c r="J18" s="17">
        <f>(2.473+2.406)/2</f>
        <v>2.4394999999999998</v>
      </c>
      <c r="L18">
        <f t="shared" si="1"/>
        <v>0.57751087394297396</v>
      </c>
    </row>
    <row r="19" spans="2:12">
      <c r="B19" s="16">
        <v>60</v>
      </c>
      <c r="C19" s="2">
        <v>4.5</v>
      </c>
      <c r="D19" s="3">
        <v>25</v>
      </c>
      <c r="E19" s="2">
        <v>1601.6</v>
      </c>
      <c r="F19" s="2">
        <f t="shared" si="2"/>
        <v>7.6423152168726434</v>
      </c>
      <c r="G19" s="32">
        <f t="shared" si="0"/>
        <v>68.394048229861468</v>
      </c>
      <c r="L19">
        <f t="shared" si="1"/>
        <v>1.1518247359740412</v>
      </c>
    </row>
    <row r="20" spans="2:12">
      <c r="B20" s="16">
        <v>90</v>
      </c>
      <c r="C20" s="2">
        <v>4.5</v>
      </c>
      <c r="D20" s="3">
        <v>25</v>
      </c>
      <c r="E20" s="2">
        <v>673.2</v>
      </c>
      <c r="F20" s="2">
        <f t="shared" si="2"/>
        <v>3.212291835663502</v>
      </c>
      <c r="G20" s="32">
        <f t="shared" si="0"/>
        <v>86.715080712002205</v>
      </c>
      <c r="L20">
        <f t="shared" si="1"/>
        <v>2.018540682218346</v>
      </c>
    </row>
    <row r="21" spans="2:12">
      <c r="B21" s="16">
        <v>120</v>
      </c>
      <c r="C21" s="2">
        <v>4.5</v>
      </c>
      <c r="D21" s="3">
        <v>25</v>
      </c>
      <c r="E21" s="2">
        <v>269.3</v>
      </c>
      <c r="F21" s="2">
        <f t="shared" si="2"/>
        <v>1.2850121677721049</v>
      </c>
      <c r="G21" s="32">
        <f t="shared" si="0"/>
        <v>94.685637605083471</v>
      </c>
      <c r="L21">
        <f t="shared" si="1"/>
        <v>2.9347571447174436</v>
      </c>
    </row>
    <row r="22" spans="2:12">
      <c r="B22" s="16">
        <v>150</v>
      </c>
      <c r="C22" s="2">
        <v>4.5999999999999996</v>
      </c>
      <c r="D22" s="3">
        <v>25</v>
      </c>
      <c r="E22" s="2">
        <v>154.30000000000001</v>
      </c>
      <c r="F22" s="2">
        <f t="shared" si="2"/>
        <v>0.7362695042229328</v>
      </c>
      <c r="G22" s="32">
        <f t="shared" si="0"/>
        <v>96.95504598018708</v>
      </c>
      <c r="L22">
        <f t="shared" si="1"/>
        <v>3.4916843851658816</v>
      </c>
    </row>
    <row r="23" spans="2:12">
      <c r="B23" s="16">
        <v>180</v>
      </c>
      <c r="C23" s="2">
        <v>4.5999999999999996</v>
      </c>
      <c r="D23" s="3">
        <v>25</v>
      </c>
      <c r="E23" s="2">
        <v>59.9</v>
      </c>
      <c r="F23" s="2">
        <f t="shared" si="2"/>
        <v>0.28582335257909053</v>
      </c>
      <c r="G23" s="32">
        <f t="shared" si="0"/>
        <v>98.817934246359087</v>
      </c>
      <c r="L23">
        <f t="shared" si="1"/>
        <v>4.4379066394135931</v>
      </c>
    </row>
    <row r="24" spans="2:12">
      <c r="B24" s="16">
        <v>210</v>
      </c>
      <c r="C24" s="2">
        <v>4.5999999999999996</v>
      </c>
      <c r="D24" s="3">
        <v>25</v>
      </c>
      <c r="E24" s="2">
        <v>19.5</v>
      </c>
      <c r="F24" s="2">
        <f t="shared" si="2"/>
        <v>9.3047669036598751E-2</v>
      </c>
      <c r="G24" s="32">
        <f t="shared" si="0"/>
        <v>99.615187275525912</v>
      </c>
      <c r="L24">
        <f t="shared" si="1"/>
        <v>5.5601686789652964</v>
      </c>
    </row>
    <row r="25" spans="2:12" ht="15.75" thickBot="1">
      <c r="B25" s="14">
        <v>240</v>
      </c>
      <c r="C25" s="12">
        <v>4.5999999999999996</v>
      </c>
      <c r="D25" s="13">
        <v>25</v>
      </c>
      <c r="E25" s="12">
        <v>1.1000000000000001</v>
      </c>
      <c r="F25" s="12">
        <f t="shared" si="2"/>
        <v>5.2488428687312121E-3</v>
      </c>
      <c r="G25" s="31">
        <f t="shared" si="0"/>
        <v>99.978292615542486</v>
      </c>
      <c r="L25">
        <f t="shared" si="1"/>
        <v>8.4352729647306717</v>
      </c>
    </row>
    <row r="28" spans="2:12" ht="15.75">
      <c r="B28" s="10"/>
    </row>
    <row r="30" spans="2:12">
      <c r="B30" s="8"/>
      <c r="C30" s="8"/>
      <c r="D30" s="9"/>
      <c r="E30" s="8"/>
      <c r="F30" s="8"/>
      <c r="G30" s="8"/>
      <c r="H30" s="8"/>
    </row>
    <row r="31" spans="2:12" ht="14.45" customHeight="1">
      <c r="B31" s="7"/>
      <c r="C31" s="7"/>
      <c r="D31" s="7"/>
      <c r="E31" s="7"/>
      <c r="F31" s="7"/>
      <c r="G31" s="7"/>
      <c r="H31" s="7"/>
    </row>
    <row r="32" spans="2:12">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8BC76-7D09-4193-9C92-BB8B961E7A45}">
  <dimension ref="B4:J68"/>
  <sheetViews>
    <sheetView zoomScale="60" zoomScaleNormal="60" workbookViewId="0">
      <selection sqref="A1:XFD1048576"/>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165</v>
      </c>
      <c r="C7" s="122">
        <v>9.5000000000000001E-2</v>
      </c>
      <c r="D7" s="126">
        <v>0.14399999999999999</v>
      </c>
      <c r="E7" s="128" t="s">
        <v>150</v>
      </c>
      <c r="F7" s="128" t="s">
        <v>162</v>
      </c>
      <c r="G7" s="121" t="s">
        <v>151</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f>(5.61+5.58)/2</f>
        <v>5.5950000000000006</v>
      </c>
    </row>
    <row r="15" spans="2:10" ht="15.75" thickBot="1">
      <c r="B15" s="36">
        <v>0</v>
      </c>
      <c r="C15" s="34">
        <v>5.3</v>
      </c>
      <c r="D15" s="35">
        <v>25</v>
      </c>
      <c r="E15" s="34">
        <v>5061.1000000000004</v>
      </c>
      <c r="F15" s="34">
        <f>E15/209.57</f>
        <v>24.149926039032305</v>
      </c>
      <c r="G15" s="33">
        <f t="shared" ref="G15:G25" si="0">($F$15-F15)/$F$15*100</f>
        <v>0</v>
      </c>
      <c r="I15" s="22" t="s">
        <v>136</v>
      </c>
      <c r="J15" s="21">
        <v>4.4000000000000004</v>
      </c>
    </row>
    <row r="16" spans="2:10" ht="15.75" thickBot="1">
      <c r="B16" s="16">
        <v>5</v>
      </c>
      <c r="C16" s="2">
        <v>5.3</v>
      </c>
      <c r="D16" s="3">
        <v>25</v>
      </c>
      <c r="E16" s="2">
        <v>4581.8999999999996</v>
      </c>
      <c r="F16" s="2">
        <f>E16/209.57</f>
        <v>21.863339218399577</v>
      </c>
      <c r="G16" s="32">
        <f t="shared" si="0"/>
        <v>9.4682974057023319</v>
      </c>
    </row>
    <row r="17" spans="2:10">
      <c r="B17" s="16">
        <v>15</v>
      </c>
      <c r="C17" s="2">
        <v>5.3</v>
      </c>
      <c r="D17" s="3">
        <v>25</v>
      </c>
      <c r="E17" s="2">
        <v>4125.3999999999996</v>
      </c>
      <c r="F17" s="2">
        <f t="shared" ref="F17:F25" si="1">E17/209.57</f>
        <v>19.685069427876126</v>
      </c>
      <c r="G17" s="32">
        <f t="shared" si="0"/>
        <v>18.488075714765571</v>
      </c>
      <c r="I17" s="20" t="s">
        <v>137</v>
      </c>
      <c r="J17" s="19">
        <f>(2.197+2.14)/2</f>
        <v>2.1684999999999999</v>
      </c>
    </row>
    <row r="18" spans="2:10" ht="15.75" thickBot="1">
      <c r="B18" s="16">
        <v>30</v>
      </c>
      <c r="C18" s="2">
        <v>5.3</v>
      </c>
      <c r="D18" s="3">
        <v>25</v>
      </c>
      <c r="E18" s="2">
        <v>3416.7</v>
      </c>
      <c r="F18" s="2">
        <f t="shared" si="1"/>
        <v>16.303383117812665</v>
      </c>
      <c r="G18" s="32">
        <f t="shared" si="0"/>
        <v>32.490960463140425</v>
      </c>
      <c r="I18" s="18" t="s">
        <v>138</v>
      </c>
      <c r="J18" s="17" t="s">
        <v>49</v>
      </c>
    </row>
    <row r="19" spans="2:10">
      <c r="B19" s="16">
        <v>60</v>
      </c>
      <c r="C19" s="2">
        <v>5.2</v>
      </c>
      <c r="D19" s="3">
        <v>25</v>
      </c>
      <c r="E19" s="2">
        <v>2677.4</v>
      </c>
      <c r="F19" s="2">
        <f t="shared" si="1"/>
        <v>12.77568354249177</v>
      </c>
      <c r="G19" s="32">
        <f t="shared" si="0"/>
        <v>47.098456857204958</v>
      </c>
    </row>
    <row r="20" spans="2:10">
      <c r="B20" s="16">
        <v>90</v>
      </c>
      <c r="C20" s="2">
        <v>5.2</v>
      </c>
      <c r="D20" s="3">
        <v>25</v>
      </c>
      <c r="E20" s="2">
        <v>1991.2</v>
      </c>
      <c r="F20" s="2">
        <f t="shared" si="1"/>
        <v>9.5013599274705349</v>
      </c>
      <c r="G20" s="32">
        <f t="shared" si="0"/>
        <v>60.656774219043299</v>
      </c>
    </row>
    <row r="21" spans="2:10">
      <c r="B21" s="16">
        <v>120</v>
      </c>
      <c r="C21" s="2">
        <v>5.2</v>
      </c>
      <c r="D21" s="3">
        <v>25</v>
      </c>
      <c r="E21" s="2">
        <v>1535.1</v>
      </c>
      <c r="F21" s="2">
        <f t="shared" si="1"/>
        <v>7.3249988070811662</v>
      </c>
      <c r="G21" s="32">
        <f t="shared" si="0"/>
        <v>69.668649107901444</v>
      </c>
    </row>
    <row r="22" spans="2:10">
      <c r="B22" s="16">
        <v>150</v>
      </c>
      <c r="C22" s="2" t="s">
        <v>49</v>
      </c>
      <c r="D22" s="3">
        <v>25</v>
      </c>
      <c r="E22" s="2">
        <v>708</v>
      </c>
      <c r="F22" s="2">
        <f t="shared" si="1"/>
        <v>3.3783461373288164</v>
      </c>
      <c r="G22" s="32">
        <f t="shared" si="0"/>
        <v>86.010946236984054</v>
      </c>
    </row>
    <row r="23" spans="2:10">
      <c r="B23" s="16">
        <v>180</v>
      </c>
      <c r="C23" s="2" t="s">
        <v>49</v>
      </c>
      <c r="D23" s="3">
        <v>25</v>
      </c>
      <c r="E23" s="2">
        <v>589.70000000000005</v>
      </c>
      <c r="F23" s="2">
        <f t="shared" si="1"/>
        <v>2.8138569451734505</v>
      </c>
      <c r="G23" s="32">
        <f t="shared" si="0"/>
        <v>88.348382762640526</v>
      </c>
    </row>
    <row r="24" spans="2:10">
      <c r="B24" s="16">
        <v>210</v>
      </c>
      <c r="C24" s="2" t="s">
        <v>49</v>
      </c>
      <c r="D24" s="3">
        <v>25</v>
      </c>
      <c r="E24" s="2">
        <v>491.9</v>
      </c>
      <c r="F24" s="2">
        <f t="shared" si="1"/>
        <v>2.3471870973898934</v>
      </c>
      <c r="G24" s="32">
        <f t="shared" si="0"/>
        <v>90.280769002785959</v>
      </c>
    </row>
    <row r="25" spans="2:10" ht="15.75" thickBot="1">
      <c r="B25" s="14">
        <v>240</v>
      </c>
      <c r="C25" s="12" t="s">
        <v>49</v>
      </c>
      <c r="D25" s="13">
        <v>25</v>
      </c>
      <c r="E25" s="12">
        <v>405.4</v>
      </c>
      <c r="F25" s="12">
        <f t="shared" si="1"/>
        <v>1.934437180894212</v>
      </c>
      <c r="G25" s="31">
        <f t="shared" si="0"/>
        <v>91.989883622137484</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50379-3A7C-40A5-B73E-7D0C2DD372AB}">
  <dimension ref="B4:J68"/>
  <sheetViews>
    <sheetView zoomScale="56" zoomScaleNormal="56" workbookViewId="0">
      <selection activeCell="O15" sqref="O15"/>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165</v>
      </c>
      <c r="C7" s="122" t="s">
        <v>126</v>
      </c>
      <c r="D7" s="126">
        <v>0.19600000000000001</v>
      </c>
      <c r="E7" s="128" t="s">
        <v>150</v>
      </c>
      <c r="F7" s="128" t="s">
        <v>126</v>
      </c>
      <c r="G7" s="121" t="s">
        <v>126</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27" t="s">
        <v>129</v>
      </c>
      <c r="C14" s="26" t="s">
        <v>130</v>
      </c>
      <c r="D14" s="26" t="s">
        <v>131</v>
      </c>
      <c r="E14" s="26" t="s">
        <v>2</v>
      </c>
      <c r="F14" s="26" t="s">
        <v>133</v>
      </c>
      <c r="G14" s="25" t="s">
        <v>134</v>
      </c>
      <c r="I14" s="24" t="s">
        <v>135</v>
      </c>
      <c r="J14" s="23">
        <f>(5.7+5.55+5.52)/3</f>
        <v>5.59</v>
      </c>
    </row>
    <row r="15" spans="2:10" ht="15.75" thickBot="1">
      <c r="B15" s="36">
        <v>0</v>
      </c>
      <c r="C15" s="34" t="s">
        <v>49</v>
      </c>
      <c r="D15" s="35" t="s">
        <v>49</v>
      </c>
      <c r="E15" s="34">
        <v>5061.3999999999996</v>
      </c>
      <c r="F15" s="34">
        <f>E15/209.57</f>
        <v>24.151357541632866</v>
      </c>
      <c r="G15" s="41">
        <f t="shared" ref="G15:G25" si="0">($F$15-F15)/$F$15*100</f>
        <v>0</v>
      </c>
      <c r="I15" s="22" t="s">
        <v>136</v>
      </c>
      <c r="J15" s="21">
        <v>4.43</v>
      </c>
    </row>
    <row r="16" spans="2:10" ht="15.75" thickBot="1">
      <c r="B16" s="16">
        <v>5</v>
      </c>
      <c r="C16" s="2" t="s">
        <v>49</v>
      </c>
      <c r="D16" s="3" t="s">
        <v>49</v>
      </c>
      <c r="E16" s="2">
        <v>4952.8999999999996</v>
      </c>
      <c r="F16" s="2">
        <f>E16/209.57</f>
        <v>23.633630767762561</v>
      </c>
      <c r="G16" s="15">
        <f t="shared" si="0"/>
        <v>2.1436756628600726</v>
      </c>
    </row>
    <row r="17" spans="2:10">
      <c r="B17" s="16">
        <v>15</v>
      </c>
      <c r="C17" s="2" t="s">
        <v>49</v>
      </c>
      <c r="D17" s="3" t="s">
        <v>49</v>
      </c>
      <c r="E17" s="2">
        <v>4827.2</v>
      </c>
      <c r="F17" s="2">
        <f t="shared" ref="F17:F25" si="1">E17/209.57</f>
        <v>23.03383117812664</v>
      </c>
      <c r="G17" s="15">
        <f t="shared" si="0"/>
        <v>4.6271782510767725</v>
      </c>
      <c r="I17" s="20" t="s">
        <v>137</v>
      </c>
      <c r="J17" s="19">
        <f>(2.185+2.149)/2</f>
        <v>2.1669999999999998</v>
      </c>
    </row>
    <row r="18" spans="2:10" ht="15.75" thickBot="1">
      <c r="B18" s="16">
        <v>30</v>
      </c>
      <c r="C18" s="2" t="s">
        <v>49</v>
      </c>
      <c r="D18" s="3" t="s">
        <v>49</v>
      </c>
      <c r="E18" s="2">
        <v>4559.5</v>
      </c>
      <c r="F18" s="2">
        <f t="shared" si="1"/>
        <v>21.756453690890872</v>
      </c>
      <c r="G18" s="15">
        <f t="shared" si="0"/>
        <v>9.9162287114237095</v>
      </c>
      <c r="I18" s="18" t="s">
        <v>138</v>
      </c>
      <c r="J18" s="17">
        <v>2.2629999999999999</v>
      </c>
    </row>
    <row r="19" spans="2:10">
      <c r="B19" s="16">
        <v>60</v>
      </c>
      <c r="C19" s="2" t="s">
        <v>49</v>
      </c>
      <c r="D19" s="3" t="s">
        <v>49</v>
      </c>
      <c r="E19" s="2">
        <v>4040</v>
      </c>
      <c r="F19" s="2">
        <f t="shared" si="1"/>
        <v>19.277568354249176</v>
      </c>
      <c r="G19" s="15">
        <f t="shared" si="0"/>
        <v>20.180187299956533</v>
      </c>
    </row>
    <row r="20" spans="2:10">
      <c r="B20" s="16">
        <v>90</v>
      </c>
      <c r="C20" s="2" t="s">
        <v>49</v>
      </c>
      <c r="D20" s="3" t="s">
        <v>49</v>
      </c>
      <c r="E20" s="2">
        <v>3524.2</v>
      </c>
      <c r="F20" s="2">
        <f t="shared" si="1"/>
        <v>16.816338216347759</v>
      </c>
      <c r="G20" s="15">
        <f t="shared" si="0"/>
        <v>30.37104358477891</v>
      </c>
    </row>
    <row r="21" spans="2:10">
      <c r="B21" s="16">
        <v>120</v>
      </c>
      <c r="C21" s="2" t="s">
        <v>49</v>
      </c>
      <c r="D21" s="3" t="s">
        <v>49</v>
      </c>
      <c r="E21" s="2">
        <v>3021.6</v>
      </c>
      <c r="F21" s="2">
        <f t="shared" si="1"/>
        <v>14.418094192871116</v>
      </c>
      <c r="G21" s="15">
        <f t="shared" si="0"/>
        <v>40.301102461769467</v>
      </c>
    </row>
    <row r="22" spans="2:10">
      <c r="B22" s="16">
        <v>150</v>
      </c>
      <c r="C22" s="2" t="s">
        <v>49</v>
      </c>
      <c r="D22" s="3" t="s">
        <v>49</v>
      </c>
      <c r="E22" s="2">
        <v>2581.4</v>
      </c>
      <c r="F22" s="2">
        <f t="shared" si="1"/>
        <v>12.317602710311592</v>
      </c>
      <c r="G22" s="15">
        <f t="shared" si="0"/>
        <v>48.99830086537321</v>
      </c>
    </row>
    <row r="23" spans="2:10">
      <c r="B23" s="16">
        <v>180</v>
      </c>
      <c r="C23" s="2" t="s">
        <v>49</v>
      </c>
      <c r="D23" s="3" t="s">
        <v>49</v>
      </c>
      <c r="E23" s="2">
        <v>2236.4</v>
      </c>
      <c r="F23" s="2">
        <f t="shared" si="1"/>
        <v>10.671374719664074</v>
      </c>
      <c r="G23" s="15">
        <f t="shared" si="0"/>
        <v>55.814596751886825</v>
      </c>
    </row>
    <row r="24" spans="2:10">
      <c r="B24" s="16">
        <v>210</v>
      </c>
      <c r="C24" s="2" t="s">
        <v>49</v>
      </c>
      <c r="D24" s="3" t="s">
        <v>49</v>
      </c>
      <c r="E24" s="2">
        <v>1900.9</v>
      </c>
      <c r="F24" s="2">
        <f t="shared" si="1"/>
        <v>9.0704776447010556</v>
      </c>
      <c r="G24" s="15">
        <f t="shared" si="0"/>
        <v>62.443197534279051</v>
      </c>
    </row>
    <row r="25" spans="2:10" ht="15.75" thickBot="1">
      <c r="B25" s="14">
        <v>240</v>
      </c>
      <c r="C25" s="12" t="s">
        <v>49</v>
      </c>
      <c r="D25" s="13" t="s">
        <v>49</v>
      </c>
      <c r="E25" s="12">
        <v>1585.1</v>
      </c>
      <c r="F25" s="12">
        <f t="shared" si="1"/>
        <v>7.5635825738416758</v>
      </c>
      <c r="G25" s="11">
        <f t="shared" si="0"/>
        <v>68.682577942861656</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65489-1547-456B-AA83-956D542744DD}">
  <dimension ref="B4:J68"/>
  <sheetViews>
    <sheetView topLeftCell="A6" zoomScale="83" zoomScaleNormal="83" workbookViewId="0">
      <selection activeCell="H11" sqref="H11"/>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row>
    <row r="7" spans="2:10" ht="29.45" customHeight="1">
      <c r="B7" s="124" t="s">
        <v>167</v>
      </c>
      <c r="C7" s="122">
        <v>0.107</v>
      </c>
      <c r="D7" s="126">
        <v>0.19</v>
      </c>
      <c r="E7" s="128" t="s">
        <v>150</v>
      </c>
      <c r="F7" s="128" t="s">
        <v>162</v>
      </c>
      <c r="G7" s="121" t="s">
        <v>151</v>
      </c>
      <c r="H7" s="121" t="s">
        <v>140</v>
      </c>
    </row>
    <row r="8" spans="2:10" ht="37.5" customHeight="1">
      <c r="B8" s="124"/>
      <c r="C8" s="122"/>
      <c r="D8" s="126"/>
      <c r="E8" s="124"/>
      <c r="F8" s="124"/>
      <c r="G8" s="122"/>
      <c r="H8" s="122"/>
    </row>
    <row r="9" spans="2:10" ht="15.75" thickBot="1">
      <c r="B9" s="125"/>
      <c r="C9" s="123"/>
      <c r="D9" s="127"/>
      <c r="E9" s="125"/>
      <c r="F9" s="125"/>
      <c r="G9" s="123"/>
      <c r="H9" s="123"/>
    </row>
    <row r="10" spans="2:10">
      <c r="E10" s="3"/>
      <c r="F10" s="3"/>
      <c r="G10" s="3"/>
      <c r="H10" s="3"/>
      <c r="I10" s="3"/>
    </row>
    <row r="13" spans="2:10" ht="15.75" thickBot="1"/>
    <row r="14" spans="2:10" ht="15.75" thickBot="1">
      <c r="B14" s="45" t="s">
        <v>129</v>
      </c>
      <c r="C14" s="46" t="s">
        <v>130</v>
      </c>
      <c r="D14" s="46" t="s">
        <v>131</v>
      </c>
      <c r="E14" s="46" t="s">
        <v>2</v>
      </c>
      <c r="F14" s="46" t="s">
        <v>133</v>
      </c>
      <c r="G14" s="47" t="s">
        <v>134</v>
      </c>
      <c r="I14" s="24" t="s">
        <v>135</v>
      </c>
      <c r="J14" s="23">
        <f>(4.9+4.83)/2</f>
        <v>4.8650000000000002</v>
      </c>
    </row>
    <row r="15" spans="2:10" ht="15.75" thickBot="1">
      <c r="B15" s="36">
        <v>0</v>
      </c>
      <c r="C15" s="34">
        <v>5.3</v>
      </c>
      <c r="D15" s="35">
        <v>25</v>
      </c>
      <c r="E15" s="34">
        <v>10399.799999999999</v>
      </c>
      <c r="F15" s="34">
        <f>E15/209.57</f>
        <v>49.624469151118959</v>
      </c>
      <c r="G15" s="33">
        <f t="shared" ref="G15:G26" si="0">($F$15-F15)/$F$15*100</f>
        <v>0</v>
      </c>
      <c r="I15" s="22" t="s">
        <v>136</v>
      </c>
      <c r="J15" s="21">
        <f>(3.56+3.57)/2</f>
        <v>3.5649999999999999</v>
      </c>
    </row>
    <row r="16" spans="2:10" ht="15.75" thickBot="1">
      <c r="B16" s="16">
        <v>5</v>
      </c>
      <c r="C16" s="2">
        <v>5.3</v>
      </c>
      <c r="D16" s="3">
        <v>25</v>
      </c>
      <c r="E16" s="2">
        <v>8947</v>
      </c>
      <c r="F16" s="2">
        <f>E16/209.57</f>
        <v>42.692179224125589</v>
      </c>
      <c r="G16" s="32">
        <f t="shared" si="0"/>
        <v>13.969499413450265</v>
      </c>
    </row>
    <row r="17" spans="2:10">
      <c r="B17" s="16">
        <v>15</v>
      </c>
      <c r="C17" s="2">
        <v>5.2</v>
      </c>
      <c r="D17" s="3">
        <v>25</v>
      </c>
      <c r="E17" s="2">
        <v>8003.7</v>
      </c>
      <c r="F17" s="2">
        <f t="shared" ref="F17:F26" si="1">E17/209.57</f>
        <v>38.191057880421816</v>
      </c>
      <c r="G17" s="32">
        <f t="shared" si="0"/>
        <v>23.03986615127214</v>
      </c>
      <c r="I17" s="20" t="s">
        <v>137</v>
      </c>
      <c r="J17" s="19">
        <f>(2.4+2.392)/2</f>
        <v>2.3959999999999999</v>
      </c>
    </row>
    <row r="18" spans="2:10" ht="15.75" thickBot="1">
      <c r="B18" s="16">
        <v>30</v>
      </c>
      <c r="C18" s="2">
        <v>5</v>
      </c>
      <c r="D18" s="3">
        <v>25</v>
      </c>
      <c r="E18" s="2">
        <v>6263</v>
      </c>
      <c r="F18" s="2">
        <f t="shared" si="1"/>
        <v>29.885002624421436</v>
      </c>
      <c r="G18" s="32">
        <f t="shared" si="0"/>
        <v>39.777688032462159</v>
      </c>
      <c r="I18" s="18" t="s">
        <v>138</v>
      </c>
      <c r="J18" s="44">
        <f>(2.606+2.498+2.62)/3</f>
        <v>2.5746666666666669</v>
      </c>
    </row>
    <row r="19" spans="2:10">
      <c r="B19" s="16">
        <v>60</v>
      </c>
      <c r="C19" s="2">
        <v>4.8</v>
      </c>
      <c r="D19" s="3">
        <v>25</v>
      </c>
      <c r="E19" s="2">
        <v>3001.5</v>
      </c>
      <c r="F19" s="2">
        <f t="shared" si="1"/>
        <v>14.322183518633393</v>
      </c>
      <c r="G19" s="32">
        <f t="shared" si="0"/>
        <v>71.138868055154902</v>
      </c>
    </row>
    <row r="20" spans="2:10">
      <c r="B20" s="16">
        <v>90</v>
      </c>
      <c r="C20" s="2">
        <v>4.5999999999999996</v>
      </c>
      <c r="D20" s="3">
        <v>25</v>
      </c>
      <c r="E20" s="2">
        <v>1369.1</v>
      </c>
      <c r="F20" s="2">
        <f t="shared" si="1"/>
        <v>6.5329007014362741</v>
      </c>
      <c r="G20" s="32">
        <f t="shared" si="0"/>
        <v>86.835323756226074</v>
      </c>
    </row>
    <row r="21" spans="2:10">
      <c r="B21" s="16">
        <v>120</v>
      </c>
      <c r="C21" s="2">
        <v>4.5999999999999996</v>
      </c>
      <c r="D21" s="3">
        <v>25</v>
      </c>
      <c r="E21" s="2">
        <v>657.1</v>
      </c>
      <c r="F21" s="2">
        <f t="shared" si="1"/>
        <v>3.1354678627666175</v>
      </c>
      <c r="G21" s="32">
        <f t="shared" si="0"/>
        <v>93.681609261716574</v>
      </c>
    </row>
    <row r="22" spans="2:10">
      <c r="B22" s="16">
        <v>150</v>
      </c>
      <c r="C22" s="2">
        <v>4.5</v>
      </c>
      <c r="D22" s="3">
        <v>25</v>
      </c>
      <c r="E22" s="2">
        <v>297.3</v>
      </c>
      <c r="F22" s="2">
        <f t="shared" si="1"/>
        <v>1.4186190771579903</v>
      </c>
      <c r="G22" s="32">
        <f t="shared" si="0"/>
        <v>97.141291178676511</v>
      </c>
    </row>
    <row r="23" spans="2:10">
      <c r="B23" s="16">
        <v>180</v>
      </c>
      <c r="C23" s="2">
        <v>4.5999999999999996</v>
      </c>
      <c r="D23" s="3">
        <v>25</v>
      </c>
      <c r="E23" s="2">
        <v>113.5</v>
      </c>
      <c r="F23" s="2">
        <f t="shared" si="1"/>
        <v>0.54158515054635681</v>
      </c>
      <c r="G23" s="32">
        <f t="shared" si="0"/>
        <v>98.908632858324211</v>
      </c>
    </row>
    <row r="24" spans="2:10">
      <c r="B24" s="16">
        <v>240</v>
      </c>
      <c r="C24" s="2">
        <v>4.5999999999999996</v>
      </c>
      <c r="D24" s="3">
        <v>25</v>
      </c>
      <c r="E24" s="2">
        <v>23</v>
      </c>
      <c r="F24" s="2">
        <f t="shared" si="1"/>
        <v>0.10974853270983442</v>
      </c>
      <c r="G24" s="32">
        <f t="shared" si="0"/>
        <v>99.778841900805787</v>
      </c>
    </row>
    <row r="25" spans="2:10">
      <c r="B25" s="16">
        <v>300</v>
      </c>
      <c r="C25" s="2">
        <v>4.5999999999999996</v>
      </c>
      <c r="D25" s="3">
        <v>25</v>
      </c>
      <c r="E25" s="2">
        <v>17.100000000000001</v>
      </c>
      <c r="F25" s="2">
        <f t="shared" si="1"/>
        <v>8.1595648232094295E-2</v>
      </c>
      <c r="G25" s="32">
        <f t="shared" si="0"/>
        <v>99.835573761033856</v>
      </c>
    </row>
    <row r="26" spans="2:10" ht="15.75" thickBot="1">
      <c r="B26" s="14">
        <v>360</v>
      </c>
      <c r="C26" s="12">
        <v>4.5</v>
      </c>
      <c r="D26" s="13">
        <v>25</v>
      </c>
      <c r="E26" s="13">
        <v>13.3</v>
      </c>
      <c r="F26" s="12">
        <f t="shared" si="1"/>
        <v>6.3463281958295564E-2</v>
      </c>
      <c r="G26" s="31">
        <f t="shared" si="0"/>
        <v>99.872112925248558</v>
      </c>
    </row>
    <row r="28" spans="2:10" ht="15.75">
      <c r="B28" s="10"/>
    </row>
    <row r="30" spans="2:10">
      <c r="B30" s="8"/>
      <c r="C30" s="8"/>
      <c r="D30" s="9"/>
      <c r="E30" s="8"/>
      <c r="F30" s="8"/>
      <c r="G30" s="8"/>
      <c r="H30" s="8"/>
    </row>
    <row r="31" spans="2:10" ht="14.45" customHeight="1">
      <c r="B31" s="7"/>
      <c r="C31" s="7"/>
      <c r="D31" s="7"/>
      <c r="E31" s="7"/>
      <c r="F31" s="7"/>
      <c r="G31" s="7"/>
      <c r="H31" s="7"/>
    </row>
    <row r="32" spans="2:10">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63152-8B45-4116-98C7-45022CEEA129}">
  <dimension ref="B4:K68"/>
  <sheetViews>
    <sheetView topLeftCell="A12" zoomScale="63" zoomScaleNormal="63" workbookViewId="0">
      <selection activeCell="I30" sqref="I30"/>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 min="10" max="10" width="29.5703125" customWidth="1"/>
    <col min="11" max="11" width="20.5703125" customWidth="1"/>
  </cols>
  <sheetData>
    <row r="4" spans="2:11" ht="15.75">
      <c r="B4" s="10"/>
    </row>
    <row r="5" spans="2:11" ht="15.75" thickBot="1"/>
    <row r="6" spans="2:11" ht="18.75" thickBot="1">
      <c r="B6" s="30" t="s">
        <v>119</v>
      </c>
      <c r="C6" s="29" t="s">
        <v>36</v>
      </c>
      <c r="D6" s="26" t="s">
        <v>120</v>
      </c>
      <c r="E6" s="30" t="s">
        <v>121</v>
      </c>
      <c r="F6" s="30" t="s">
        <v>122</v>
      </c>
      <c r="G6" s="29" t="s">
        <v>123</v>
      </c>
      <c r="H6" s="28" t="s">
        <v>124</v>
      </c>
    </row>
    <row r="7" spans="2:11" ht="29.45" customHeight="1">
      <c r="B7" s="124" t="s">
        <v>167</v>
      </c>
      <c r="C7" s="122" t="s">
        <v>126</v>
      </c>
      <c r="D7" s="126" t="s">
        <v>126</v>
      </c>
      <c r="E7" s="128" t="s">
        <v>126</v>
      </c>
      <c r="F7" s="128" t="s">
        <v>162</v>
      </c>
      <c r="G7" s="121" t="s">
        <v>151</v>
      </c>
      <c r="H7" s="121" t="s">
        <v>140</v>
      </c>
    </row>
    <row r="8" spans="2:11" ht="37.5" customHeight="1">
      <c r="B8" s="124"/>
      <c r="C8" s="122"/>
      <c r="D8" s="126"/>
      <c r="E8" s="124"/>
      <c r="F8" s="124"/>
      <c r="G8" s="122"/>
      <c r="H8" s="122"/>
    </row>
    <row r="9" spans="2:11" ht="15.75" thickBot="1">
      <c r="B9" s="125"/>
      <c r="C9" s="123"/>
      <c r="D9" s="127"/>
      <c r="E9" s="125"/>
      <c r="F9" s="125"/>
      <c r="G9" s="123"/>
      <c r="H9" s="123"/>
    </row>
    <row r="10" spans="2:11">
      <c r="E10" s="3"/>
      <c r="F10" s="3"/>
      <c r="G10" s="3"/>
      <c r="H10" s="3"/>
      <c r="I10" s="3"/>
    </row>
    <row r="13" spans="2:11" ht="15.75" thickBot="1"/>
    <row r="14" spans="2:11" ht="15.75" thickBot="1">
      <c r="B14" s="45" t="s">
        <v>129</v>
      </c>
      <c r="C14" s="46" t="s">
        <v>130</v>
      </c>
      <c r="D14" s="46" t="s">
        <v>131</v>
      </c>
      <c r="E14" s="46" t="s">
        <v>2</v>
      </c>
      <c r="F14" s="46" t="s">
        <v>133</v>
      </c>
      <c r="G14" s="47" t="s">
        <v>134</v>
      </c>
      <c r="H14" s="6" t="s">
        <v>168</v>
      </c>
      <c r="J14" s="24" t="s">
        <v>135</v>
      </c>
      <c r="K14" s="23">
        <f>(5.61+5.21)/2</f>
        <v>5.41</v>
      </c>
    </row>
    <row r="15" spans="2:11" ht="15.75" thickBot="1">
      <c r="B15" s="36">
        <v>0</v>
      </c>
      <c r="C15" s="34">
        <v>5.0999999999999996</v>
      </c>
      <c r="D15" s="35">
        <v>25</v>
      </c>
      <c r="E15" s="34">
        <v>10189.9</v>
      </c>
      <c r="F15" s="34">
        <f>E15/209.57</f>
        <v>48.62289449825834</v>
      </c>
      <c r="G15" s="33">
        <f t="shared" ref="G15:G26" si="0">($F$15-F15)/$F$15*100</f>
        <v>0</v>
      </c>
      <c r="H15" s="72">
        <f>-LN(F15/$F$15)</f>
        <v>0</v>
      </c>
      <c r="J15" s="22" t="s">
        <v>136</v>
      </c>
      <c r="K15" s="21">
        <f>(3.52+3.53)/2</f>
        <v>3.5249999999999999</v>
      </c>
    </row>
    <row r="16" spans="2:11" ht="15.75" thickBot="1">
      <c r="B16" s="16">
        <v>5</v>
      </c>
      <c r="C16" s="2">
        <v>5.0999999999999996</v>
      </c>
      <c r="D16" s="3">
        <v>25</v>
      </c>
      <c r="E16" s="2">
        <v>9156.4</v>
      </c>
      <c r="F16" s="2">
        <f>E16/209.57</f>
        <v>43.691368039318604</v>
      </c>
      <c r="G16" s="32">
        <f t="shared" si="0"/>
        <v>10.14239590182436</v>
      </c>
      <c r="H16" s="72">
        <f t="shared" ref="H16:H26" si="1">-LN(F16/$F$15)</f>
        <v>0.10694394530807864</v>
      </c>
    </row>
    <row r="17" spans="2:11">
      <c r="B17" s="16">
        <v>22</v>
      </c>
      <c r="C17" s="2">
        <v>5.2</v>
      </c>
      <c r="D17" s="3">
        <v>25</v>
      </c>
      <c r="E17" s="2">
        <v>7371</v>
      </c>
      <c r="F17" s="2">
        <f t="shared" ref="F17:F26" si="2">E17/209.57</f>
        <v>35.172018895834327</v>
      </c>
      <c r="G17" s="32">
        <f t="shared" si="0"/>
        <v>27.663666964347051</v>
      </c>
      <c r="H17" s="72">
        <f t="shared" si="1"/>
        <v>0.32384365143663973</v>
      </c>
      <c r="J17" s="20" t="s">
        <v>137</v>
      </c>
      <c r="K17" s="19">
        <f>(2.394+2.37)/2</f>
        <v>2.3820000000000001</v>
      </c>
    </row>
    <row r="18" spans="2:11" ht="15.75" thickBot="1">
      <c r="B18" s="16">
        <v>32</v>
      </c>
      <c r="C18" s="2">
        <v>5.0999999999999996</v>
      </c>
      <c r="D18" s="3">
        <v>25</v>
      </c>
      <c r="E18" s="2">
        <v>6840.8</v>
      </c>
      <c r="F18" s="2">
        <f t="shared" si="2"/>
        <v>32.642076633105887</v>
      </c>
      <c r="G18" s="32">
        <f t="shared" si="0"/>
        <v>32.866858359748377</v>
      </c>
      <c r="H18" s="72">
        <f t="shared" si="1"/>
        <v>0.39849234978418285</v>
      </c>
      <c r="J18" s="18" t="s">
        <v>138</v>
      </c>
      <c r="K18" s="44">
        <f>(2.503+2.42)/2</f>
        <v>2.4615</v>
      </c>
    </row>
    <row r="19" spans="2:11">
      <c r="B19" s="16">
        <v>60</v>
      </c>
      <c r="C19" s="2">
        <v>5.0999999999999996</v>
      </c>
      <c r="D19" s="3">
        <v>25</v>
      </c>
      <c r="E19" s="2">
        <v>4767.3</v>
      </c>
      <c r="F19" s="2">
        <f t="shared" si="2"/>
        <v>22.74800782554755</v>
      </c>
      <c r="G19" s="32">
        <f t="shared" si="0"/>
        <v>53.215438816867689</v>
      </c>
      <c r="H19" s="72">
        <f t="shared" si="1"/>
        <v>0.75961692673922809</v>
      </c>
    </row>
    <row r="20" spans="2:11">
      <c r="B20" s="16">
        <v>100</v>
      </c>
      <c r="C20" s="2">
        <v>5.0999999999999996</v>
      </c>
      <c r="D20" s="3">
        <v>25</v>
      </c>
      <c r="E20" s="2">
        <v>2907.9</v>
      </c>
      <c r="F20" s="2">
        <f t="shared" si="2"/>
        <v>13.875554707257718</v>
      </c>
      <c r="G20" s="32">
        <f t="shared" si="0"/>
        <v>71.462919165055595</v>
      </c>
      <c r="H20" s="72">
        <f t="shared" si="1"/>
        <v>1.2539658624592565</v>
      </c>
    </row>
    <row r="21" spans="2:11">
      <c r="B21" s="16">
        <v>120</v>
      </c>
      <c r="C21" s="2">
        <v>5</v>
      </c>
      <c r="D21" s="3">
        <v>25</v>
      </c>
      <c r="E21" s="2">
        <v>2146.8000000000002</v>
      </c>
      <c r="F21" s="2">
        <f t="shared" si="2"/>
        <v>10.243832609629242</v>
      </c>
      <c r="G21" s="32">
        <f t="shared" si="0"/>
        <v>78.932079804512298</v>
      </c>
      <c r="H21" s="72">
        <f t="shared" si="1"/>
        <v>1.5574186723232546</v>
      </c>
    </row>
    <row r="22" spans="2:11">
      <c r="B22" s="16">
        <v>150</v>
      </c>
      <c r="C22" s="2">
        <v>5</v>
      </c>
      <c r="D22" s="3">
        <v>25</v>
      </c>
      <c r="E22" s="2">
        <v>1468</v>
      </c>
      <c r="F22" s="2">
        <f t="shared" si="2"/>
        <v>7.0048193920885629</v>
      </c>
      <c r="G22" s="32">
        <f t="shared" si="0"/>
        <v>85.593577954641347</v>
      </c>
      <c r="H22" s="72">
        <f t="shared" si="1"/>
        <v>1.9374961034514675</v>
      </c>
    </row>
    <row r="23" spans="2:11">
      <c r="B23" s="16">
        <v>180</v>
      </c>
      <c r="C23" s="2">
        <v>5</v>
      </c>
      <c r="D23" s="3">
        <v>25</v>
      </c>
      <c r="E23" s="2">
        <v>857.7</v>
      </c>
      <c r="F23" s="2">
        <f t="shared" si="2"/>
        <v>4.0926659350097827</v>
      </c>
      <c r="G23" s="32">
        <f t="shared" si="0"/>
        <v>91.582841833580304</v>
      </c>
      <c r="H23" s="72">
        <f t="shared" si="1"/>
        <v>2.4748979246295524</v>
      </c>
    </row>
    <row r="24" spans="2:11">
      <c r="B24" s="16">
        <v>240</v>
      </c>
      <c r="C24" s="2">
        <v>5</v>
      </c>
      <c r="D24" s="3">
        <v>25</v>
      </c>
      <c r="E24" s="2">
        <v>357.1</v>
      </c>
      <c r="F24" s="2">
        <f t="shared" si="2"/>
        <v>1.7039652622035599</v>
      </c>
      <c r="G24" s="32">
        <f t="shared" si="0"/>
        <v>96.495549514715549</v>
      </c>
      <c r="H24" s="72">
        <f t="shared" si="1"/>
        <v>3.3511364580255254</v>
      </c>
    </row>
    <row r="25" spans="2:11">
      <c r="B25" s="16">
        <v>300</v>
      </c>
      <c r="C25" s="2">
        <v>4.5999999999999996</v>
      </c>
      <c r="D25" s="3">
        <v>25</v>
      </c>
      <c r="E25" s="2">
        <v>141.19999999999999</v>
      </c>
      <c r="F25" s="2">
        <f t="shared" si="2"/>
        <v>0.67376055733167917</v>
      </c>
      <c r="G25" s="32">
        <f t="shared" si="0"/>
        <v>98.614314173838792</v>
      </c>
      <c r="H25" s="72">
        <f t="shared" si="1"/>
        <v>4.2789749875667864</v>
      </c>
    </row>
    <row r="26" spans="2:11" ht="15.75" thickBot="1">
      <c r="B26" s="14">
        <v>360</v>
      </c>
      <c r="C26" s="12">
        <v>5.0999999999999996</v>
      </c>
      <c r="D26" s="13">
        <v>25</v>
      </c>
      <c r="E26" s="13">
        <v>51.3</v>
      </c>
      <c r="F26" s="12">
        <f t="shared" si="2"/>
        <v>0.24478694469628287</v>
      </c>
      <c r="G26" s="31">
        <f t="shared" si="0"/>
        <v>99.496560319532094</v>
      </c>
      <c r="H26" s="72">
        <f t="shared" si="1"/>
        <v>5.2914615604492043</v>
      </c>
    </row>
    <row r="28" spans="2:11" ht="15.75">
      <c r="B28" s="10"/>
    </row>
    <row r="30" spans="2:11">
      <c r="B30" s="8"/>
      <c r="C30" s="8"/>
      <c r="D30" s="9"/>
      <c r="E30" s="8"/>
      <c r="F30" s="8"/>
      <c r="G30" s="8"/>
      <c r="H30" s="8"/>
    </row>
    <row r="31" spans="2:11" ht="14.45" customHeight="1">
      <c r="B31" s="7"/>
      <c r="C31" s="7"/>
      <c r="D31" s="7"/>
      <c r="E31" s="7"/>
      <c r="F31" s="7"/>
      <c r="G31" s="7"/>
      <c r="H31" s="7"/>
    </row>
    <row r="32" spans="2:11">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69FD1-05EF-4E45-A29D-29D2C4D4833E}">
  <dimension ref="B3:AP43"/>
  <sheetViews>
    <sheetView tabSelected="1" zoomScale="89" zoomScaleNormal="89" workbookViewId="0">
      <selection activeCell="F3" sqref="F3"/>
    </sheetView>
  </sheetViews>
  <sheetFormatPr defaultColWidth="11.42578125" defaultRowHeight="15"/>
  <cols>
    <col min="2" max="2" width="17.5703125" customWidth="1"/>
    <col min="3" max="3" width="17.42578125" customWidth="1"/>
    <col min="4" max="4" width="18.7109375" customWidth="1"/>
    <col min="5" max="5" width="26.85546875" customWidth="1"/>
    <col min="6" max="6" width="27.28515625" customWidth="1"/>
    <col min="7" max="7" width="28.28515625" customWidth="1"/>
    <col min="8" max="8" width="15" customWidth="1"/>
    <col min="9" max="9" width="18.140625" customWidth="1"/>
    <col min="11" max="11" width="18.85546875" customWidth="1"/>
    <col min="12" max="12" width="14.85546875" customWidth="1"/>
    <col min="13" max="13" width="32.5703125" customWidth="1"/>
    <col min="14" max="14" width="20.5703125" customWidth="1"/>
    <col min="16" max="16" width="30.5703125" customWidth="1"/>
    <col min="18" max="18" width="18.5703125" customWidth="1"/>
    <col min="19" max="19" width="17.42578125" customWidth="1"/>
    <col min="20" max="20" width="15.28515625" customWidth="1"/>
    <col min="21" max="21" width="17.85546875" customWidth="1"/>
    <col min="22" max="22" width="20.5703125" customWidth="1"/>
    <col min="23" max="23" width="18" customWidth="1"/>
    <col min="24" max="26" width="27.5703125" customWidth="1"/>
    <col min="31" max="31" width="24.5703125" customWidth="1"/>
    <col min="32" max="32" width="20" customWidth="1"/>
    <col min="33" max="33" width="140.7109375" customWidth="1"/>
    <col min="34" max="34" width="25.140625" customWidth="1"/>
    <col min="35" max="35" width="28.42578125" customWidth="1"/>
    <col min="36" max="36" width="27.5703125" customWidth="1"/>
    <col min="37" max="37" width="21.85546875" customWidth="1"/>
    <col min="38" max="38" width="22.28515625" customWidth="1"/>
    <col min="39" max="39" width="22.5703125" customWidth="1"/>
    <col min="40" max="40" width="22" customWidth="1"/>
    <col min="41" max="41" width="25.85546875" customWidth="1"/>
    <col min="42" max="42" width="54.85546875" customWidth="1"/>
  </cols>
  <sheetData>
    <row r="3" spans="2:42" ht="15.75" thickBot="1"/>
    <row r="4" spans="2:42" ht="15.75" thickTop="1">
      <c r="B4" s="76"/>
      <c r="C4" s="76"/>
      <c r="D4" s="113" t="s">
        <v>5</v>
      </c>
      <c r="E4" s="114"/>
      <c r="F4" s="115"/>
      <c r="G4" s="84" t="s">
        <v>6</v>
      </c>
      <c r="H4" s="116" t="s">
        <v>7</v>
      </c>
      <c r="I4" s="118"/>
      <c r="J4" s="116" t="s">
        <v>8</v>
      </c>
      <c r="K4" s="117"/>
      <c r="L4" s="117"/>
      <c r="M4" s="117"/>
      <c r="N4" s="118"/>
      <c r="O4" s="116" t="s">
        <v>9</v>
      </c>
      <c r="P4" s="118"/>
      <c r="Q4" s="116" t="s">
        <v>10</v>
      </c>
      <c r="R4" s="118"/>
      <c r="S4" s="116" t="s">
        <v>11</v>
      </c>
      <c r="T4" s="118"/>
      <c r="U4" s="85"/>
      <c r="V4" s="85"/>
      <c r="W4" s="85"/>
      <c r="X4" s="86"/>
      <c r="Y4" s="85"/>
      <c r="Z4" s="85"/>
      <c r="AA4" s="87"/>
      <c r="AB4" s="86"/>
      <c r="AC4" s="116" t="s">
        <v>12</v>
      </c>
      <c r="AD4" s="118"/>
      <c r="AE4" s="116" t="s">
        <v>13</v>
      </c>
      <c r="AF4" s="118"/>
      <c r="AG4" s="119" t="s">
        <v>14</v>
      </c>
      <c r="AH4" s="93"/>
      <c r="AI4" s="93"/>
      <c r="AJ4" s="93"/>
      <c r="AK4" s="93"/>
      <c r="AL4" s="93"/>
      <c r="AM4" s="93"/>
      <c r="AN4" s="93"/>
      <c r="AO4" s="93"/>
      <c r="AP4" s="93"/>
    </row>
    <row r="5" spans="2:42" ht="18">
      <c r="B5" s="83" t="s">
        <v>15</v>
      </c>
      <c r="C5" s="83" t="s">
        <v>16</v>
      </c>
      <c r="D5" s="81" t="s">
        <v>17</v>
      </c>
      <c r="E5" s="83" t="s">
        <v>18</v>
      </c>
      <c r="F5" s="82" t="s">
        <v>19</v>
      </c>
      <c r="G5" s="82" t="s">
        <v>20</v>
      </c>
      <c r="H5" s="81" t="s">
        <v>21</v>
      </c>
      <c r="I5" s="82" t="s">
        <v>22</v>
      </c>
      <c r="J5" s="81" t="s">
        <v>23</v>
      </c>
      <c r="K5" s="83" t="s">
        <v>24</v>
      </c>
      <c r="L5" s="83" t="s">
        <v>25</v>
      </c>
      <c r="M5" s="83" t="s">
        <v>26</v>
      </c>
      <c r="N5" s="82" t="s">
        <v>27</v>
      </c>
      <c r="O5" s="81" t="s">
        <v>28</v>
      </c>
      <c r="P5" s="82" t="s">
        <v>29</v>
      </c>
      <c r="Q5" s="81" t="s">
        <v>30</v>
      </c>
      <c r="R5" s="82" t="s">
        <v>31</v>
      </c>
      <c r="S5" s="81" t="s">
        <v>32</v>
      </c>
      <c r="T5" s="82" t="s">
        <v>33</v>
      </c>
      <c r="U5" s="83" t="s">
        <v>34</v>
      </c>
      <c r="V5" s="83" t="s">
        <v>35</v>
      </c>
      <c r="W5" s="83" t="s">
        <v>36</v>
      </c>
      <c r="X5" s="82" t="s">
        <v>37</v>
      </c>
      <c r="Y5" s="83" t="s">
        <v>38</v>
      </c>
      <c r="Z5" s="83" t="s">
        <v>39</v>
      </c>
      <c r="AA5" s="81" t="s">
        <v>40</v>
      </c>
      <c r="AB5" s="82" t="s">
        <v>41</v>
      </c>
      <c r="AC5" s="81" t="s">
        <v>42</v>
      </c>
      <c r="AD5" s="82" t="s">
        <v>43</v>
      </c>
      <c r="AE5" s="81" t="s">
        <v>44</v>
      </c>
      <c r="AF5" s="82" t="s">
        <v>45</v>
      </c>
      <c r="AG5" s="120"/>
      <c r="AH5" s="93"/>
      <c r="AI5" s="93"/>
      <c r="AJ5" s="93"/>
      <c r="AK5" s="93"/>
      <c r="AL5" s="93"/>
      <c r="AM5" s="93"/>
      <c r="AN5" s="93"/>
      <c r="AO5" s="93"/>
      <c r="AP5" s="93"/>
    </row>
    <row r="6" spans="2:42">
      <c r="B6" s="4" t="s">
        <v>46</v>
      </c>
      <c r="C6" s="4" t="s">
        <v>47</v>
      </c>
      <c r="D6" s="77" t="s">
        <v>48</v>
      </c>
      <c r="E6" s="4">
        <v>10</v>
      </c>
      <c r="F6" s="75" t="s">
        <v>49</v>
      </c>
      <c r="G6" s="75">
        <v>10</v>
      </c>
      <c r="H6" s="77" t="s">
        <v>50</v>
      </c>
      <c r="I6" s="75">
        <v>75</v>
      </c>
      <c r="J6" s="77" t="s">
        <v>51</v>
      </c>
      <c r="K6" s="4" t="s">
        <v>52</v>
      </c>
      <c r="L6" s="4" t="s">
        <v>53</v>
      </c>
      <c r="M6" s="4">
        <v>5.7</v>
      </c>
      <c r="N6" s="75">
        <v>100</v>
      </c>
      <c r="O6" s="77" t="s">
        <v>54</v>
      </c>
      <c r="P6" s="75" t="s">
        <v>49</v>
      </c>
      <c r="Q6" s="77" t="s">
        <v>54</v>
      </c>
      <c r="R6" s="75" t="s">
        <v>49</v>
      </c>
      <c r="S6" s="77" t="s">
        <v>55</v>
      </c>
      <c r="T6" s="75" t="s">
        <v>56</v>
      </c>
      <c r="U6" s="4" t="s">
        <v>54</v>
      </c>
      <c r="V6" s="4" t="s">
        <v>49</v>
      </c>
      <c r="W6" s="4" t="s">
        <v>54</v>
      </c>
      <c r="X6" s="75" t="s">
        <v>49</v>
      </c>
      <c r="Y6" s="4" t="s">
        <v>54</v>
      </c>
      <c r="Z6" s="4" t="s">
        <v>49</v>
      </c>
      <c r="AA6" s="77" t="s">
        <v>49</v>
      </c>
      <c r="AB6" s="75" t="s">
        <v>49</v>
      </c>
      <c r="AC6" s="77">
        <v>6.69</v>
      </c>
      <c r="AD6" s="75">
        <v>11.01</v>
      </c>
      <c r="AE6" s="77">
        <v>3.1019999999999999</v>
      </c>
      <c r="AF6" s="75">
        <v>3.5190000000000001</v>
      </c>
      <c r="AG6" s="96"/>
      <c r="AH6" s="93"/>
      <c r="AI6" s="93"/>
      <c r="AJ6" s="93"/>
      <c r="AK6" s="93"/>
      <c r="AL6" s="93"/>
      <c r="AM6" s="93"/>
      <c r="AN6" s="93"/>
      <c r="AO6" s="93"/>
      <c r="AP6" s="93"/>
    </row>
    <row r="7" spans="2:42">
      <c r="B7" s="4" t="s">
        <v>57</v>
      </c>
      <c r="C7" s="4" t="s">
        <v>47</v>
      </c>
      <c r="D7" s="77" t="s">
        <v>48</v>
      </c>
      <c r="E7" s="4">
        <v>10</v>
      </c>
      <c r="F7" s="75" t="s">
        <v>49</v>
      </c>
      <c r="G7" s="75">
        <v>10</v>
      </c>
      <c r="H7" s="77" t="s">
        <v>50</v>
      </c>
      <c r="I7" s="75">
        <v>75</v>
      </c>
      <c r="J7" s="77" t="s">
        <v>51</v>
      </c>
      <c r="K7" s="4" t="s">
        <v>52</v>
      </c>
      <c r="L7" s="4" t="s">
        <v>53</v>
      </c>
      <c r="M7" s="4">
        <v>5.7</v>
      </c>
      <c r="N7" s="75">
        <v>100</v>
      </c>
      <c r="O7" s="77" t="s">
        <v>54</v>
      </c>
      <c r="P7" s="75" t="s">
        <v>49</v>
      </c>
      <c r="Q7" s="77" t="s">
        <v>58</v>
      </c>
      <c r="R7" s="75">
        <v>1</v>
      </c>
      <c r="S7" s="77" t="s">
        <v>55</v>
      </c>
      <c r="T7" s="75" t="s">
        <v>56</v>
      </c>
      <c r="U7" s="4" t="s">
        <v>54</v>
      </c>
      <c r="V7" s="4" t="s">
        <v>49</v>
      </c>
      <c r="W7" s="4" t="s">
        <v>54</v>
      </c>
      <c r="X7" s="75" t="s">
        <v>49</v>
      </c>
      <c r="Y7" s="4" t="s">
        <v>54</v>
      </c>
      <c r="Z7" s="4" t="s">
        <v>49</v>
      </c>
      <c r="AA7" s="77" t="s">
        <v>49</v>
      </c>
      <c r="AB7" s="75" t="s">
        <v>49</v>
      </c>
      <c r="AC7" s="77">
        <v>7.26</v>
      </c>
      <c r="AD7" s="75">
        <v>7.18</v>
      </c>
      <c r="AE7" s="77">
        <v>2.875</v>
      </c>
      <c r="AF7" s="75">
        <v>3.0790000000000002</v>
      </c>
      <c r="AG7" s="96"/>
      <c r="AH7" s="93"/>
      <c r="AI7" s="93"/>
      <c r="AJ7" s="93"/>
      <c r="AK7" s="93"/>
      <c r="AL7" s="93"/>
      <c r="AM7" s="93"/>
      <c r="AN7" s="93"/>
      <c r="AO7" s="93"/>
      <c r="AP7" s="93"/>
    </row>
    <row r="8" spans="2:42">
      <c r="B8" s="4" t="s">
        <v>59</v>
      </c>
      <c r="C8" s="4" t="s">
        <v>60</v>
      </c>
      <c r="D8" s="77" t="s">
        <v>48</v>
      </c>
      <c r="E8" s="4">
        <v>10</v>
      </c>
      <c r="F8" s="75" t="s">
        <v>49</v>
      </c>
      <c r="G8" s="75">
        <v>10</v>
      </c>
      <c r="H8" s="77" t="s">
        <v>50</v>
      </c>
      <c r="I8" s="75">
        <v>75</v>
      </c>
      <c r="J8" s="77" t="s">
        <v>51</v>
      </c>
      <c r="K8" s="4" t="s">
        <v>52</v>
      </c>
      <c r="L8" s="4" t="s">
        <v>53</v>
      </c>
      <c r="M8" s="4">
        <v>6</v>
      </c>
      <c r="N8" s="75">
        <v>100</v>
      </c>
      <c r="O8" s="77" t="s">
        <v>54</v>
      </c>
      <c r="P8" s="75" t="s">
        <v>49</v>
      </c>
      <c r="Q8" s="77" t="s">
        <v>58</v>
      </c>
      <c r="R8" s="75">
        <v>1</v>
      </c>
      <c r="S8" s="77" t="s">
        <v>55</v>
      </c>
      <c r="T8" s="75" t="s">
        <v>56</v>
      </c>
      <c r="U8" s="4">
        <v>0.16500000000000001</v>
      </c>
      <c r="V8" s="4" t="s">
        <v>61</v>
      </c>
      <c r="W8" s="4" t="s">
        <v>54</v>
      </c>
      <c r="X8" s="75" t="s">
        <v>49</v>
      </c>
      <c r="Y8" s="4" t="s">
        <v>54</v>
      </c>
      <c r="Z8" s="4" t="s">
        <v>49</v>
      </c>
      <c r="AA8" s="77" t="s">
        <v>49</v>
      </c>
      <c r="AB8" s="75" t="s">
        <v>49</v>
      </c>
      <c r="AC8" s="77">
        <v>6.17</v>
      </c>
      <c r="AD8" s="75">
        <v>10.32</v>
      </c>
      <c r="AE8" s="77">
        <v>3.0190000000000001</v>
      </c>
      <c r="AF8" s="75">
        <v>3.3279999999999998</v>
      </c>
      <c r="AG8" s="96"/>
      <c r="AH8" s="93"/>
      <c r="AI8" s="93"/>
      <c r="AJ8" s="93"/>
      <c r="AK8" s="93"/>
      <c r="AL8" s="93"/>
      <c r="AM8" s="93"/>
      <c r="AN8" s="93"/>
      <c r="AO8" s="93"/>
      <c r="AP8" s="93"/>
    </row>
    <row r="9" spans="2:42">
      <c r="B9" s="4" t="s">
        <v>62</v>
      </c>
      <c r="C9" s="4" t="s">
        <v>63</v>
      </c>
      <c r="D9" s="77" t="s">
        <v>48</v>
      </c>
      <c r="E9" s="4">
        <v>10</v>
      </c>
      <c r="F9" s="75" t="s">
        <v>49</v>
      </c>
      <c r="G9" s="75">
        <v>10</v>
      </c>
      <c r="H9" s="77" t="s">
        <v>50</v>
      </c>
      <c r="I9" s="75">
        <v>75</v>
      </c>
      <c r="J9" s="77" t="s">
        <v>51</v>
      </c>
      <c r="K9" s="4" t="s">
        <v>52</v>
      </c>
      <c r="L9" s="4" t="s">
        <v>53</v>
      </c>
      <c r="M9" s="4">
        <v>5.7</v>
      </c>
      <c r="N9" s="75">
        <v>100</v>
      </c>
      <c r="O9" s="77" t="s">
        <v>54</v>
      </c>
      <c r="P9" s="75" t="s">
        <v>49</v>
      </c>
      <c r="Q9" s="77" t="s">
        <v>58</v>
      </c>
      <c r="R9" s="75">
        <v>1</v>
      </c>
      <c r="S9" s="77" t="s">
        <v>55</v>
      </c>
      <c r="T9" s="75" t="s">
        <v>56</v>
      </c>
      <c r="U9" s="4" t="s">
        <v>54</v>
      </c>
      <c r="V9" s="4" t="s">
        <v>49</v>
      </c>
      <c r="W9" s="4">
        <v>0.17899999999999999</v>
      </c>
      <c r="X9" s="75" t="s">
        <v>61</v>
      </c>
      <c r="Y9" s="4" t="s">
        <v>54</v>
      </c>
      <c r="Z9" s="4" t="s">
        <v>49</v>
      </c>
      <c r="AA9" s="77" t="s">
        <v>49</v>
      </c>
      <c r="AB9" s="75" t="s">
        <v>49</v>
      </c>
      <c r="AC9" s="77">
        <v>6.52</v>
      </c>
      <c r="AD9" s="75" t="s">
        <v>49</v>
      </c>
      <c r="AE9" s="77">
        <v>1.5469999999999999</v>
      </c>
      <c r="AF9" s="75" t="s">
        <v>49</v>
      </c>
      <c r="AG9" s="96"/>
      <c r="AH9" s="93"/>
      <c r="AI9" s="93"/>
      <c r="AJ9" s="93"/>
      <c r="AK9" s="93"/>
      <c r="AL9" s="93"/>
      <c r="AM9" s="93"/>
      <c r="AN9" s="93"/>
      <c r="AO9" s="93"/>
      <c r="AP9" s="93"/>
    </row>
    <row r="10" spans="2:42">
      <c r="B10" s="4" t="s">
        <v>64</v>
      </c>
      <c r="C10" s="4" t="s">
        <v>65</v>
      </c>
      <c r="D10" s="77" t="s">
        <v>48</v>
      </c>
      <c r="E10" s="4">
        <v>10</v>
      </c>
      <c r="F10" s="75" t="s">
        <v>49</v>
      </c>
      <c r="G10" s="75">
        <v>10</v>
      </c>
      <c r="H10" s="77" t="s">
        <v>50</v>
      </c>
      <c r="I10" s="75">
        <v>75</v>
      </c>
      <c r="J10" s="77" t="s">
        <v>51</v>
      </c>
      <c r="K10" s="4" t="s">
        <v>52</v>
      </c>
      <c r="L10" s="4" t="s">
        <v>53</v>
      </c>
      <c r="M10" s="4">
        <v>6</v>
      </c>
      <c r="N10" s="75">
        <v>100</v>
      </c>
      <c r="O10" s="77" t="s">
        <v>58</v>
      </c>
      <c r="P10" s="75" t="s">
        <v>66</v>
      </c>
      <c r="Q10" s="77" t="s">
        <v>58</v>
      </c>
      <c r="R10" s="75">
        <v>1</v>
      </c>
      <c r="S10" s="77" t="s">
        <v>54</v>
      </c>
      <c r="T10" s="75" t="s">
        <v>56</v>
      </c>
      <c r="U10" s="4" t="s">
        <v>54</v>
      </c>
      <c r="V10" s="4" t="s">
        <v>49</v>
      </c>
      <c r="W10" s="4" t="s">
        <v>54</v>
      </c>
      <c r="X10" s="75" t="s">
        <v>49</v>
      </c>
      <c r="Y10" s="4">
        <v>0.18099999999999999</v>
      </c>
      <c r="Z10" s="4" t="s">
        <v>61</v>
      </c>
      <c r="AA10" s="77" t="s">
        <v>49</v>
      </c>
      <c r="AB10" s="101" t="s">
        <v>49</v>
      </c>
      <c r="AC10" s="77">
        <v>6.17</v>
      </c>
      <c r="AD10" s="75">
        <v>3.44</v>
      </c>
      <c r="AE10" s="77">
        <v>3.0190000000000001</v>
      </c>
      <c r="AF10" s="75">
        <v>3.2810000000000001</v>
      </c>
      <c r="AG10" s="96"/>
      <c r="AH10" s="93"/>
      <c r="AI10" s="93"/>
      <c r="AJ10" s="93"/>
      <c r="AK10" s="93"/>
      <c r="AL10" s="93"/>
      <c r="AM10" s="93"/>
      <c r="AN10" s="93"/>
      <c r="AO10" s="93"/>
      <c r="AP10" s="93"/>
    </row>
    <row r="11" spans="2:42">
      <c r="B11" s="4" t="s">
        <v>67</v>
      </c>
      <c r="C11" s="4" t="s">
        <v>63</v>
      </c>
      <c r="D11" s="77" t="s">
        <v>48</v>
      </c>
      <c r="E11" s="4">
        <v>10</v>
      </c>
      <c r="F11" s="75" t="s">
        <v>49</v>
      </c>
      <c r="G11" s="75">
        <v>10</v>
      </c>
      <c r="H11" s="77" t="s">
        <v>50</v>
      </c>
      <c r="I11" s="75">
        <v>75</v>
      </c>
      <c r="J11" s="77" t="s">
        <v>51</v>
      </c>
      <c r="K11" s="4" t="s">
        <v>52</v>
      </c>
      <c r="L11" s="4" t="s">
        <v>53</v>
      </c>
      <c r="M11" s="4">
        <v>6</v>
      </c>
      <c r="N11" s="75">
        <v>100</v>
      </c>
      <c r="O11" s="77" t="s">
        <v>54</v>
      </c>
      <c r="P11" s="75" t="s">
        <v>49</v>
      </c>
      <c r="Q11" s="77" t="s">
        <v>58</v>
      </c>
      <c r="R11" s="75">
        <v>1</v>
      </c>
      <c r="S11" s="77" t="s">
        <v>58</v>
      </c>
      <c r="T11" s="75" t="s">
        <v>56</v>
      </c>
      <c r="U11" s="4" t="s">
        <v>54</v>
      </c>
      <c r="V11" s="4" t="s">
        <v>49</v>
      </c>
      <c r="W11" s="4" t="s">
        <v>54</v>
      </c>
      <c r="X11" s="75" t="s">
        <v>49</v>
      </c>
      <c r="Y11" s="4">
        <v>0.219</v>
      </c>
      <c r="Z11" s="4" t="s">
        <v>61</v>
      </c>
      <c r="AA11" s="77" t="s">
        <v>49</v>
      </c>
      <c r="AB11" s="75" t="s">
        <v>49</v>
      </c>
      <c r="AC11" s="77">
        <v>6.12</v>
      </c>
      <c r="AD11" s="75">
        <v>3.88</v>
      </c>
      <c r="AE11" s="77">
        <v>3.0030000000000001</v>
      </c>
      <c r="AF11" s="75">
        <v>3.1960000000000002</v>
      </c>
      <c r="AG11" s="96"/>
      <c r="AH11" s="93"/>
      <c r="AI11" s="93"/>
      <c r="AJ11" s="93"/>
      <c r="AK11" s="93"/>
      <c r="AL11" s="93"/>
      <c r="AM11" s="93"/>
      <c r="AN11" s="93"/>
      <c r="AO11" s="93"/>
      <c r="AP11" s="93"/>
    </row>
    <row r="12" spans="2:42">
      <c r="B12" s="4" t="s">
        <v>68</v>
      </c>
      <c r="C12" s="4" t="s">
        <v>69</v>
      </c>
      <c r="D12" s="77" t="s">
        <v>48</v>
      </c>
      <c r="E12" s="4">
        <v>10</v>
      </c>
      <c r="F12" s="75" t="s">
        <v>49</v>
      </c>
      <c r="G12" s="75">
        <v>10</v>
      </c>
      <c r="H12" s="77" t="s">
        <v>70</v>
      </c>
      <c r="I12" s="75">
        <v>75</v>
      </c>
      <c r="J12" s="77" t="s">
        <v>49</v>
      </c>
      <c r="K12" s="4" t="s">
        <v>49</v>
      </c>
      <c r="L12" s="4" t="s">
        <v>49</v>
      </c>
      <c r="M12" s="4"/>
      <c r="N12" s="75" t="s">
        <v>49</v>
      </c>
      <c r="O12" s="77" t="s">
        <v>58</v>
      </c>
      <c r="P12" s="75" t="s">
        <v>66</v>
      </c>
      <c r="Q12" s="77" t="s">
        <v>54</v>
      </c>
      <c r="R12" s="75" t="s">
        <v>49</v>
      </c>
      <c r="S12" s="77" t="s">
        <v>55</v>
      </c>
      <c r="T12" s="75" t="s">
        <v>71</v>
      </c>
      <c r="U12" s="4" t="s">
        <v>54</v>
      </c>
      <c r="V12" s="4" t="s">
        <v>49</v>
      </c>
      <c r="W12" s="4" t="s">
        <v>54</v>
      </c>
      <c r="X12" s="75" t="s">
        <v>49</v>
      </c>
      <c r="Y12" s="4" t="s">
        <v>54</v>
      </c>
      <c r="Z12" s="4" t="s">
        <v>49</v>
      </c>
      <c r="AA12" s="77" t="s">
        <v>49</v>
      </c>
      <c r="AB12" s="75" t="s">
        <v>49</v>
      </c>
      <c r="AC12" s="77">
        <v>5.87</v>
      </c>
      <c r="AD12" s="75">
        <v>6.17</v>
      </c>
      <c r="AE12" s="77">
        <v>2.0649999999999999</v>
      </c>
      <c r="AF12" s="75">
        <v>2.0699999999999998</v>
      </c>
      <c r="AG12" s="96"/>
      <c r="AH12" s="93"/>
      <c r="AI12" s="93"/>
      <c r="AJ12" s="93"/>
      <c r="AK12" s="93"/>
      <c r="AL12" s="93"/>
      <c r="AM12" s="93"/>
      <c r="AN12" s="93"/>
      <c r="AO12" s="93"/>
      <c r="AP12" s="93"/>
    </row>
    <row r="13" spans="2:42">
      <c r="B13" s="4" t="s">
        <v>72</v>
      </c>
      <c r="C13" s="4" t="s">
        <v>73</v>
      </c>
      <c r="D13" s="77" t="s">
        <v>48</v>
      </c>
      <c r="E13" s="4">
        <v>10</v>
      </c>
      <c r="F13" s="75" t="s">
        <v>49</v>
      </c>
      <c r="G13" s="75">
        <v>10</v>
      </c>
      <c r="H13" s="77" t="s">
        <v>70</v>
      </c>
      <c r="I13" s="75">
        <v>75</v>
      </c>
      <c r="J13" s="77" t="s">
        <v>51</v>
      </c>
      <c r="K13" s="4" t="s">
        <v>52</v>
      </c>
      <c r="L13" s="4" t="s">
        <v>53</v>
      </c>
      <c r="M13" s="4"/>
      <c r="N13" s="75">
        <v>100</v>
      </c>
      <c r="O13" s="77" t="s">
        <v>58</v>
      </c>
      <c r="P13" s="75" t="s">
        <v>66</v>
      </c>
      <c r="Q13" s="77" t="s">
        <v>58</v>
      </c>
      <c r="R13" s="75">
        <v>0.5</v>
      </c>
      <c r="S13" s="77" t="s">
        <v>55</v>
      </c>
      <c r="T13" s="75" t="s">
        <v>71</v>
      </c>
      <c r="U13" s="4" t="s">
        <v>54</v>
      </c>
      <c r="V13" s="4" t="s">
        <v>49</v>
      </c>
      <c r="W13" s="4" t="s">
        <v>54</v>
      </c>
      <c r="X13" s="75" t="s">
        <v>49</v>
      </c>
      <c r="Y13" s="4" t="s">
        <v>54</v>
      </c>
      <c r="Z13" s="4" t="s">
        <v>49</v>
      </c>
      <c r="AA13" s="77" t="s">
        <v>49</v>
      </c>
      <c r="AB13" s="75" t="s">
        <v>49</v>
      </c>
      <c r="AC13" s="77">
        <v>6</v>
      </c>
      <c r="AD13" s="75">
        <v>4.5</v>
      </c>
      <c r="AE13" s="77">
        <v>2.2069999999999999</v>
      </c>
      <c r="AF13" s="75">
        <v>2.044</v>
      </c>
      <c r="AG13" s="96"/>
      <c r="AH13" s="93"/>
      <c r="AI13" s="93"/>
      <c r="AJ13" s="93"/>
      <c r="AK13" s="93"/>
      <c r="AL13" s="93"/>
      <c r="AM13" s="93"/>
      <c r="AN13" s="93"/>
      <c r="AO13" s="93"/>
      <c r="AP13" s="93"/>
    </row>
    <row r="14" spans="2:42">
      <c r="B14" s="4" t="s">
        <v>74</v>
      </c>
      <c r="C14" s="4" t="s">
        <v>47</v>
      </c>
      <c r="D14" s="77" t="s">
        <v>48</v>
      </c>
      <c r="E14" s="4">
        <v>10</v>
      </c>
      <c r="F14" s="75" t="s">
        <v>49</v>
      </c>
      <c r="G14" s="75">
        <v>10</v>
      </c>
      <c r="H14" s="77" t="s">
        <v>70</v>
      </c>
      <c r="I14" s="75">
        <v>75</v>
      </c>
      <c r="J14" s="77" t="s">
        <v>51</v>
      </c>
      <c r="K14" s="4" t="s">
        <v>52</v>
      </c>
      <c r="L14" s="4" t="s">
        <v>53</v>
      </c>
      <c r="M14" s="4"/>
      <c r="N14" s="75">
        <v>100</v>
      </c>
      <c r="O14" s="77" t="s">
        <v>54</v>
      </c>
      <c r="P14" s="75" t="s">
        <v>49</v>
      </c>
      <c r="Q14" s="77" t="s">
        <v>58</v>
      </c>
      <c r="R14" s="75">
        <v>0.5</v>
      </c>
      <c r="S14" s="77" t="s">
        <v>55</v>
      </c>
      <c r="T14" s="75" t="s">
        <v>71</v>
      </c>
      <c r="U14" s="4" t="s">
        <v>54</v>
      </c>
      <c r="V14" s="4" t="s">
        <v>49</v>
      </c>
      <c r="W14" s="4" t="s">
        <v>54</v>
      </c>
      <c r="X14" s="75" t="s">
        <v>49</v>
      </c>
      <c r="Y14" s="4" t="s">
        <v>54</v>
      </c>
      <c r="Z14" s="4" t="s">
        <v>49</v>
      </c>
      <c r="AA14" s="77" t="s">
        <v>49</v>
      </c>
      <c r="AB14" s="75" t="s">
        <v>49</v>
      </c>
      <c r="AC14" s="77">
        <v>5.55</v>
      </c>
      <c r="AD14" s="75">
        <v>5.87</v>
      </c>
      <c r="AE14" s="77">
        <v>1.984</v>
      </c>
      <c r="AF14" s="75">
        <v>2.0649999999999999</v>
      </c>
      <c r="AG14" s="96"/>
      <c r="AH14" s="93"/>
      <c r="AI14" s="93"/>
      <c r="AJ14" s="93"/>
      <c r="AK14" s="93"/>
      <c r="AL14" s="93"/>
      <c r="AM14" s="93"/>
      <c r="AN14" s="93"/>
      <c r="AO14" s="93"/>
      <c r="AP14" s="93"/>
    </row>
    <row r="15" spans="2:42">
      <c r="B15" s="4" t="s">
        <v>75</v>
      </c>
      <c r="C15" s="4" t="s">
        <v>63</v>
      </c>
      <c r="D15" s="77" t="s">
        <v>48</v>
      </c>
      <c r="E15" s="4">
        <v>10</v>
      </c>
      <c r="F15" s="75" t="s">
        <v>49</v>
      </c>
      <c r="G15" s="75">
        <v>10</v>
      </c>
      <c r="H15" s="77" t="s">
        <v>70</v>
      </c>
      <c r="I15" s="75">
        <v>75</v>
      </c>
      <c r="J15" s="77" t="s">
        <v>51</v>
      </c>
      <c r="K15" s="4" t="s">
        <v>52</v>
      </c>
      <c r="L15" s="4" t="s">
        <v>53</v>
      </c>
      <c r="M15" s="4"/>
      <c r="N15" s="75">
        <v>100</v>
      </c>
      <c r="O15" s="77" t="s">
        <v>54</v>
      </c>
      <c r="P15" s="75" t="s">
        <v>49</v>
      </c>
      <c r="Q15" s="77" t="s">
        <v>58</v>
      </c>
      <c r="R15" s="75">
        <v>0.5</v>
      </c>
      <c r="S15" s="77" t="s">
        <v>55</v>
      </c>
      <c r="T15" s="75" t="s">
        <v>71</v>
      </c>
      <c r="U15" s="4" t="s">
        <v>54</v>
      </c>
      <c r="V15" s="4" t="s">
        <v>49</v>
      </c>
      <c r="W15" s="4">
        <v>0.09</v>
      </c>
      <c r="X15" s="75" t="s">
        <v>61</v>
      </c>
      <c r="Y15" s="4" t="s">
        <v>54</v>
      </c>
      <c r="Z15" s="4" t="s">
        <v>49</v>
      </c>
      <c r="AA15" s="77" t="s">
        <v>49</v>
      </c>
      <c r="AB15" s="75" t="s">
        <v>49</v>
      </c>
      <c r="AC15" s="77">
        <v>5.56</v>
      </c>
      <c r="AD15" s="75">
        <v>3.59</v>
      </c>
      <c r="AE15" s="77">
        <v>2.012</v>
      </c>
      <c r="AF15" s="75">
        <v>2.2309999999999999</v>
      </c>
      <c r="AG15" s="96"/>
      <c r="AH15" s="93"/>
      <c r="AI15" s="93"/>
      <c r="AJ15" s="93"/>
      <c r="AK15" s="93"/>
      <c r="AL15" s="93"/>
      <c r="AM15" s="93"/>
      <c r="AN15" s="93"/>
      <c r="AO15" s="93"/>
      <c r="AP15" s="93"/>
    </row>
    <row r="16" spans="2:42">
      <c r="B16" s="4" t="s">
        <v>76</v>
      </c>
      <c r="C16" s="4" t="s">
        <v>28</v>
      </c>
      <c r="D16" s="77" t="s">
        <v>48</v>
      </c>
      <c r="E16" s="4">
        <v>10</v>
      </c>
      <c r="F16" s="75" t="s">
        <v>49</v>
      </c>
      <c r="G16" s="75">
        <v>10</v>
      </c>
      <c r="H16" s="77" t="s">
        <v>70</v>
      </c>
      <c r="I16" s="75">
        <v>75</v>
      </c>
      <c r="J16" s="77" t="s">
        <v>49</v>
      </c>
      <c r="K16" s="4" t="s">
        <v>49</v>
      </c>
      <c r="L16" s="4" t="s">
        <v>49</v>
      </c>
      <c r="M16" s="4"/>
      <c r="N16" s="75" t="s">
        <v>49</v>
      </c>
      <c r="O16" s="77" t="s">
        <v>58</v>
      </c>
      <c r="P16" s="75" t="s">
        <v>66</v>
      </c>
      <c r="Q16" s="77" t="s">
        <v>54</v>
      </c>
      <c r="R16" s="75" t="s">
        <v>49</v>
      </c>
      <c r="S16" s="77" t="s">
        <v>55</v>
      </c>
      <c r="T16" s="75" t="s">
        <v>71</v>
      </c>
      <c r="U16" s="4">
        <v>0.2</v>
      </c>
      <c r="V16" s="4" t="s">
        <v>61</v>
      </c>
      <c r="W16" s="4" t="s">
        <v>54</v>
      </c>
      <c r="X16" s="75" t="s">
        <v>49</v>
      </c>
      <c r="Y16" s="4" t="s">
        <v>54</v>
      </c>
      <c r="Z16" s="4" t="s">
        <v>49</v>
      </c>
      <c r="AA16" s="77" t="s">
        <v>49</v>
      </c>
      <c r="AB16" s="75" t="s">
        <v>49</v>
      </c>
      <c r="AC16" s="77">
        <v>5.47</v>
      </c>
      <c r="AD16" s="75">
        <v>5.59</v>
      </c>
      <c r="AE16" s="77">
        <v>2.218</v>
      </c>
      <c r="AF16" s="75">
        <v>2.1659999999999999</v>
      </c>
      <c r="AG16" s="96"/>
      <c r="AH16" s="93"/>
      <c r="AI16" s="93"/>
      <c r="AJ16" s="93"/>
      <c r="AK16" s="93"/>
      <c r="AL16" s="93"/>
      <c r="AM16" s="93"/>
      <c r="AN16" s="93"/>
      <c r="AO16" s="93"/>
      <c r="AP16" s="93"/>
    </row>
    <row r="17" spans="2:42">
      <c r="B17" s="4" t="s">
        <v>77</v>
      </c>
      <c r="C17" s="4" t="s">
        <v>65</v>
      </c>
      <c r="D17" s="77" t="s">
        <v>48</v>
      </c>
      <c r="E17" s="4">
        <v>10</v>
      </c>
      <c r="F17" s="75" t="s">
        <v>49</v>
      </c>
      <c r="G17" s="75">
        <v>10</v>
      </c>
      <c r="H17" s="77" t="s">
        <v>70</v>
      </c>
      <c r="I17" s="75">
        <v>75</v>
      </c>
      <c r="J17" s="77" t="s">
        <v>51</v>
      </c>
      <c r="K17" s="4" t="s">
        <v>52</v>
      </c>
      <c r="L17" s="4" t="s">
        <v>53</v>
      </c>
      <c r="M17" s="4"/>
      <c r="N17" s="75">
        <v>100</v>
      </c>
      <c r="O17" s="77" t="s">
        <v>58</v>
      </c>
      <c r="P17" s="75" t="s">
        <v>66</v>
      </c>
      <c r="Q17" s="77" t="s">
        <v>58</v>
      </c>
      <c r="R17" s="75">
        <v>0.5</v>
      </c>
      <c r="S17" s="77" t="s">
        <v>55</v>
      </c>
      <c r="T17" s="75" t="s">
        <v>71</v>
      </c>
      <c r="U17" s="4">
        <v>0.20100000000000001</v>
      </c>
      <c r="V17" s="4" t="s">
        <v>61</v>
      </c>
      <c r="W17" s="4">
        <v>0.155</v>
      </c>
      <c r="X17" s="75" t="s">
        <v>61</v>
      </c>
      <c r="Y17" s="4" t="s">
        <v>54</v>
      </c>
      <c r="Z17" s="4" t="s">
        <v>49</v>
      </c>
      <c r="AA17" s="77" t="s">
        <v>49</v>
      </c>
      <c r="AB17" s="75" t="s">
        <v>49</v>
      </c>
      <c r="AC17" s="77">
        <v>6.24</v>
      </c>
      <c r="AD17" s="75">
        <v>4.95</v>
      </c>
      <c r="AE17" s="77">
        <v>1.758</v>
      </c>
      <c r="AF17" s="75">
        <v>3.7589999999999999</v>
      </c>
      <c r="AG17" s="96"/>
      <c r="AH17" s="93"/>
      <c r="AI17" s="93"/>
      <c r="AJ17" s="93"/>
      <c r="AK17" s="93"/>
      <c r="AL17" s="93"/>
      <c r="AM17" s="93"/>
      <c r="AN17" s="93"/>
      <c r="AO17" s="93"/>
      <c r="AP17" s="93"/>
    </row>
    <row r="18" spans="2:42">
      <c r="B18" s="4" t="s">
        <v>77</v>
      </c>
      <c r="C18" s="4" t="s">
        <v>65</v>
      </c>
      <c r="D18" s="77" t="s">
        <v>48</v>
      </c>
      <c r="E18" s="4">
        <v>10</v>
      </c>
      <c r="F18" s="75" t="s">
        <v>49</v>
      </c>
      <c r="G18" s="75">
        <v>10</v>
      </c>
      <c r="H18" s="77" t="s">
        <v>70</v>
      </c>
      <c r="I18" s="75">
        <v>75</v>
      </c>
      <c r="J18" s="77" t="s">
        <v>51</v>
      </c>
      <c r="K18" s="4" t="s">
        <v>52</v>
      </c>
      <c r="L18" s="4" t="s">
        <v>53</v>
      </c>
      <c r="M18" s="4"/>
      <c r="N18" s="75">
        <v>100</v>
      </c>
      <c r="O18" s="77" t="s">
        <v>58</v>
      </c>
      <c r="P18" s="75" t="s">
        <v>66</v>
      </c>
      <c r="Q18" s="77" t="s">
        <v>58</v>
      </c>
      <c r="R18" s="75">
        <v>0.5</v>
      </c>
      <c r="S18" s="77" t="s">
        <v>55</v>
      </c>
      <c r="T18" s="75" t="s">
        <v>71</v>
      </c>
      <c r="U18" s="4">
        <v>0.20100000000000001</v>
      </c>
      <c r="V18" s="4" t="s">
        <v>78</v>
      </c>
      <c r="W18" s="4">
        <v>0.155</v>
      </c>
      <c r="X18" s="75" t="s">
        <v>79</v>
      </c>
      <c r="Y18" s="4" t="s">
        <v>54</v>
      </c>
      <c r="Z18" s="4" t="s">
        <v>49</v>
      </c>
      <c r="AA18" s="77" t="s">
        <v>49</v>
      </c>
      <c r="AB18" s="75" t="s">
        <v>49</v>
      </c>
      <c r="AC18" s="77">
        <v>6.25</v>
      </c>
      <c r="AD18" s="75">
        <v>3.35</v>
      </c>
      <c r="AE18" s="77">
        <v>1.1339999999999999</v>
      </c>
      <c r="AF18" s="75">
        <v>3.6440000000000001</v>
      </c>
      <c r="AG18" s="96"/>
      <c r="AH18" s="93"/>
      <c r="AI18" s="93"/>
      <c r="AJ18" s="93"/>
      <c r="AK18" s="93"/>
      <c r="AL18" s="93"/>
      <c r="AM18" s="93"/>
      <c r="AN18" s="93"/>
      <c r="AO18" s="93"/>
      <c r="AP18" s="93"/>
    </row>
    <row r="19" spans="2:42">
      <c r="B19" s="4" t="s">
        <v>77</v>
      </c>
      <c r="C19" s="4" t="s">
        <v>65</v>
      </c>
      <c r="D19" s="77" t="s">
        <v>48</v>
      </c>
      <c r="E19" s="4">
        <v>10</v>
      </c>
      <c r="F19" s="75" t="s">
        <v>49</v>
      </c>
      <c r="G19" s="75">
        <v>10</v>
      </c>
      <c r="H19" s="77" t="s">
        <v>70</v>
      </c>
      <c r="I19" s="75">
        <v>75</v>
      </c>
      <c r="J19" s="77" t="s">
        <v>51</v>
      </c>
      <c r="K19" s="4" t="s">
        <v>52</v>
      </c>
      <c r="L19" s="4" t="s">
        <v>53</v>
      </c>
      <c r="M19" s="4"/>
      <c r="N19" s="75">
        <v>100</v>
      </c>
      <c r="O19" s="77" t="s">
        <v>58</v>
      </c>
      <c r="P19" s="75" t="s">
        <v>66</v>
      </c>
      <c r="Q19" s="77" t="s">
        <v>58</v>
      </c>
      <c r="R19" s="75">
        <v>0.5</v>
      </c>
      <c r="S19" s="77" t="s">
        <v>55</v>
      </c>
      <c r="T19" s="75" t="s">
        <v>71</v>
      </c>
      <c r="U19" s="4">
        <v>0.20100000000000001</v>
      </c>
      <c r="V19" s="4" t="s">
        <v>80</v>
      </c>
      <c r="W19" s="4">
        <v>0.155</v>
      </c>
      <c r="X19" s="75" t="s">
        <v>80</v>
      </c>
      <c r="Y19" s="4" t="s">
        <v>54</v>
      </c>
      <c r="Z19" s="4" t="s">
        <v>49</v>
      </c>
      <c r="AA19" s="77" t="s">
        <v>49</v>
      </c>
      <c r="AB19" s="75" t="s">
        <v>49</v>
      </c>
      <c r="AC19" s="77">
        <v>5.72</v>
      </c>
      <c r="AD19" s="75">
        <v>6.96</v>
      </c>
      <c r="AE19" s="77">
        <v>3.343</v>
      </c>
      <c r="AF19" s="75">
        <v>3.41</v>
      </c>
      <c r="AG19" s="96"/>
      <c r="AH19" s="93"/>
      <c r="AI19" s="93"/>
      <c r="AJ19" s="93"/>
      <c r="AK19" s="93"/>
      <c r="AL19" s="93"/>
      <c r="AM19" s="93"/>
      <c r="AN19" s="93"/>
      <c r="AO19" s="93"/>
      <c r="AP19" s="93"/>
    </row>
    <row r="20" spans="2:42">
      <c r="B20" s="4" t="s">
        <v>81</v>
      </c>
      <c r="C20" s="4" t="s">
        <v>65</v>
      </c>
      <c r="D20" s="77" t="s">
        <v>48</v>
      </c>
      <c r="E20" s="4">
        <v>10</v>
      </c>
      <c r="F20" s="75" t="s">
        <v>49</v>
      </c>
      <c r="G20" s="75">
        <v>10</v>
      </c>
      <c r="H20" s="77" t="s">
        <v>70</v>
      </c>
      <c r="I20" s="75">
        <v>75</v>
      </c>
      <c r="J20" s="77" t="s">
        <v>51</v>
      </c>
      <c r="K20" s="4" t="s">
        <v>52</v>
      </c>
      <c r="L20" s="4" t="s">
        <v>53</v>
      </c>
      <c r="M20" s="4"/>
      <c r="N20" s="75">
        <v>100</v>
      </c>
      <c r="O20" s="77" t="s">
        <v>58</v>
      </c>
      <c r="P20" s="75" t="s">
        <v>66</v>
      </c>
      <c r="Q20" s="77" t="s">
        <v>58</v>
      </c>
      <c r="R20" s="75">
        <v>0.5</v>
      </c>
      <c r="S20" s="77" t="s">
        <v>55</v>
      </c>
      <c r="T20" s="75" t="s">
        <v>71</v>
      </c>
      <c r="U20" s="4">
        <v>0.108</v>
      </c>
      <c r="V20" s="4" t="s">
        <v>61</v>
      </c>
      <c r="W20" s="4">
        <v>5.5E-2</v>
      </c>
      <c r="X20" s="75" t="s">
        <v>61</v>
      </c>
      <c r="Y20" s="4" t="s">
        <v>54</v>
      </c>
      <c r="Z20" s="4" t="s">
        <v>49</v>
      </c>
      <c r="AA20" s="77" t="s">
        <v>49</v>
      </c>
      <c r="AB20" s="75" t="s">
        <v>49</v>
      </c>
      <c r="AC20" s="77">
        <v>6.05</v>
      </c>
      <c r="AD20" s="75">
        <v>5.49</v>
      </c>
      <c r="AE20" s="77">
        <v>1.8009999999999999</v>
      </c>
      <c r="AF20" s="75">
        <v>3.4039999999999999</v>
      </c>
      <c r="AG20" s="96"/>
      <c r="AH20" s="93"/>
      <c r="AI20" s="93"/>
      <c r="AJ20" s="93"/>
      <c r="AK20" s="93"/>
      <c r="AL20" s="93"/>
      <c r="AM20" s="93"/>
      <c r="AN20" s="93"/>
      <c r="AO20" s="93"/>
      <c r="AP20" s="93"/>
    </row>
    <row r="21" spans="2:42">
      <c r="B21" s="4" t="s">
        <v>82</v>
      </c>
      <c r="C21" s="4" t="s">
        <v>47</v>
      </c>
      <c r="D21" s="77" t="s">
        <v>48</v>
      </c>
      <c r="E21" s="4">
        <v>10</v>
      </c>
      <c r="F21" s="75" t="s">
        <v>49</v>
      </c>
      <c r="G21" s="75">
        <v>10</v>
      </c>
      <c r="H21" s="77" t="s">
        <v>70</v>
      </c>
      <c r="I21" s="75">
        <v>75</v>
      </c>
      <c r="J21" s="77" t="s">
        <v>51</v>
      </c>
      <c r="K21" s="4" t="s">
        <v>52</v>
      </c>
      <c r="L21" s="4" t="s">
        <v>53</v>
      </c>
      <c r="M21" s="4"/>
      <c r="N21" s="75">
        <v>50</v>
      </c>
      <c r="O21" s="77" t="s">
        <v>54</v>
      </c>
      <c r="P21" s="75" t="s">
        <v>49</v>
      </c>
      <c r="Q21" s="77" t="s">
        <v>58</v>
      </c>
      <c r="R21" s="75">
        <v>0.5</v>
      </c>
      <c r="S21" s="77" t="s">
        <v>55</v>
      </c>
      <c r="T21" s="75" t="s">
        <v>71</v>
      </c>
      <c r="U21" s="4" t="s">
        <v>54</v>
      </c>
      <c r="V21" s="4" t="s">
        <v>49</v>
      </c>
      <c r="W21" s="4" t="s">
        <v>54</v>
      </c>
      <c r="X21" s="75" t="s">
        <v>49</v>
      </c>
      <c r="Y21" s="4" t="s">
        <v>54</v>
      </c>
      <c r="Z21" s="4" t="s">
        <v>49</v>
      </c>
      <c r="AA21" s="77" t="s">
        <v>49</v>
      </c>
      <c r="AB21" s="75" t="s">
        <v>49</v>
      </c>
      <c r="AC21" s="77">
        <v>5.89</v>
      </c>
      <c r="AD21" s="75">
        <v>5.53</v>
      </c>
      <c r="AE21" s="77">
        <v>2.238</v>
      </c>
      <c r="AF21" s="75">
        <v>2.177</v>
      </c>
      <c r="AG21" s="96"/>
      <c r="AH21" s="93"/>
      <c r="AI21" s="93"/>
      <c r="AJ21" s="93"/>
      <c r="AK21" s="93"/>
      <c r="AL21" s="93"/>
      <c r="AM21" s="93"/>
      <c r="AN21" s="93"/>
      <c r="AO21" s="93"/>
      <c r="AP21" s="93"/>
    </row>
    <row r="22" spans="2:42">
      <c r="B22" s="4" t="s">
        <v>83</v>
      </c>
      <c r="C22" s="4" t="s">
        <v>47</v>
      </c>
      <c r="D22" s="77" t="s">
        <v>48</v>
      </c>
      <c r="E22" s="4">
        <v>10</v>
      </c>
      <c r="F22" s="75" t="s">
        <v>49</v>
      </c>
      <c r="G22" s="75">
        <v>10</v>
      </c>
      <c r="H22" s="77" t="s">
        <v>70</v>
      </c>
      <c r="I22" s="75">
        <v>75</v>
      </c>
      <c r="J22" s="77" t="s">
        <v>51</v>
      </c>
      <c r="K22" s="4" t="s">
        <v>52</v>
      </c>
      <c r="L22" s="4" t="s">
        <v>53</v>
      </c>
      <c r="M22" s="4"/>
      <c r="N22" s="75">
        <v>25</v>
      </c>
      <c r="O22" s="77" t="s">
        <v>54</v>
      </c>
      <c r="P22" s="75" t="s">
        <v>49</v>
      </c>
      <c r="Q22" s="77" t="s">
        <v>58</v>
      </c>
      <c r="R22" s="75">
        <v>0.5</v>
      </c>
      <c r="S22" s="77" t="s">
        <v>55</v>
      </c>
      <c r="T22" s="75" t="s">
        <v>71</v>
      </c>
      <c r="U22" s="4" t="s">
        <v>54</v>
      </c>
      <c r="V22" s="4" t="s">
        <v>49</v>
      </c>
      <c r="W22" s="4" t="s">
        <v>54</v>
      </c>
      <c r="X22" s="75" t="s">
        <v>49</v>
      </c>
      <c r="Y22" s="4" t="s">
        <v>54</v>
      </c>
      <c r="Z22" s="4" t="s">
        <v>49</v>
      </c>
      <c r="AA22" s="77" t="s">
        <v>49</v>
      </c>
      <c r="AB22" s="75" t="s">
        <v>49</v>
      </c>
      <c r="AC22" s="77">
        <v>6.17</v>
      </c>
      <c r="AD22" s="75">
        <v>4.59</v>
      </c>
      <c r="AE22" s="77">
        <v>2.0470000000000002</v>
      </c>
      <c r="AF22" s="75">
        <v>1.9059999999999999</v>
      </c>
      <c r="AG22" s="96"/>
      <c r="AH22" s="93"/>
      <c r="AI22" s="93"/>
      <c r="AJ22" s="93"/>
      <c r="AK22" s="93"/>
      <c r="AL22" s="93"/>
      <c r="AM22" s="93"/>
      <c r="AN22" s="93"/>
      <c r="AO22" s="93"/>
      <c r="AP22" s="93"/>
    </row>
    <row r="23" spans="2:42">
      <c r="B23" s="4" t="s">
        <v>84</v>
      </c>
      <c r="C23" s="4" t="s">
        <v>63</v>
      </c>
      <c r="D23" s="77" t="s">
        <v>48</v>
      </c>
      <c r="E23" s="4">
        <v>10</v>
      </c>
      <c r="F23" s="75" t="s">
        <v>49</v>
      </c>
      <c r="G23" s="75">
        <v>10</v>
      </c>
      <c r="H23" s="77" t="s">
        <v>70</v>
      </c>
      <c r="I23" s="75">
        <v>75</v>
      </c>
      <c r="J23" s="77" t="s">
        <v>51</v>
      </c>
      <c r="K23" s="4" t="s">
        <v>52</v>
      </c>
      <c r="L23" s="4" t="s">
        <v>53</v>
      </c>
      <c r="M23" s="4"/>
      <c r="N23" s="75">
        <v>25</v>
      </c>
      <c r="O23" s="77" t="s">
        <v>54</v>
      </c>
      <c r="P23" s="75" t="s">
        <v>49</v>
      </c>
      <c r="Q23" s="77" t="s">
        <v>58</v>
      </c>
      <c r="R23" s="75">
        <v>0.5</v>
      </c>
      <c r="S23" s="77" t="s">
        <v>55</v>
      </c>
      <c r="T23" s="75" t="s">
        <v>71</v>
      </c>
      <c r="U23" s="4" t="s">
        <v>54</v>
      </c>
      <c r="V23" s="4" t="s">
        <v>49</v>
      </c>
      <c r="W23" s="4">
        <v>9.1999999999999998E-2</v>
      </c>
      <c r="X23" s="75" t="s">
        <v>61</v>
      </c>
      <c r="Y23" s="4" t="s">
        <v>54</v>
      </c>
      <c r="Z23" s="4" t="s">
        <v>49</v>
      </c>
      <c r="AA23" s="77" t="s">
        <v>49</v>
      </c>
      <c r="AB23" s="75" t="s">
        <v>49</v>
      </c>
      <c r="AC23" s="77">
        <v>5.35</v>
      </c>
      <c r="AD23" s="75">
        <v>3.55</v>
      </c>
      <c r="AE23" s="77">
        <v>2.0459999999999998</v>
      </c>
      <c r="AF23" s="75">
        <v>2.1419999999999999</v>
      </c>
      <c r="AG23" s="96"/>
      <c r="AH23" s="93"/>
      <c r="AI23" s="93"/>
      <c r="AJ23" s="93"/>
      <c r="AK23" s="93"/>
      <c r="AL23" s="93"/>
      <c r="AM23" s="93"/>
      <c r="AN23" s="93"/>
      <c r="AO23" s="93"/>
      <c r="AP23" s="93"/>
    </row>
    <row r="24" spans="2:42">
      <c r="B24" s="4" t="s">
        <v>85</v>
      </c>
      <c r="C24" s="4" t="s">
        <v>65</v>
      </c>
      <c r="D24" s="77" t="s">
        <v>48</v>
      </c>
      <c r="E24" s="4">
        <v>10</v>
      </c>
      <c r="F24" s="75" t="s">
        <v>49</v>
      </c>
      <c r="G24" s="75">
        <v>10</v>
      </c>
      <c r="H24" s="77" t="s">
        <v>70</v>
      </c>
      <c r="I24" s="75">
        <v>75</v>
      </c>
      <c r="J24" s="77" t="s">
        <v>51</v>
      </c>
      <c r="K24" s="4" t="s">
        <v>52</v>
      </c>
      <c r="L24" s="4" t="s">
        <v>53</v>
      </c>
      <c r="M24" s="4"/>
      <c r="N24" s="75">
        <v>25</v>
      </c>
      <c r="O24" s="77" t="s">
        <v>58</v>
      </c>
      <c r="P24" s="75" t="s">
        <v>66</v>
      </c>
      <c r="Q24" s="77" t="s">
        <v>58</v>
      </c>
      <c r="R24" s="75">
        <v>0.5</v>
      </c>
      <c r="S24" s="77" t="s">
        <v>55</v>
      </c>
      <c r="T24" s="75" t="s">
        <v>71</v>
      </c>
      <c r="U24" s="4">
        <v>0.2</v>
      </c>
      <c r="V24" s="4" t="s">
        <v>61</v>
      </c>
      <c r="W24" s="4">
        <v>0.104</v>
      </c>
      <c r="X24" s="75" t="s">
        <v>61</v>
      </c>
      <c r="Y24" s="4" t="s">
        <v>54</v>
      </c>
      <c r="Z24" s="4" t="s">
        <v>49</v>
      </c>
      <c r="AA24" s="77" t="s">
        <v>49</v>
      </c>
      <c r="AB24" s="75" t="s">
        <v>49</v>
      </c>
      <c r="AC24" s="77">
        <v>5.49</v>
      </c>
      <c r="AD24" s="75">
        <v>3.57</v>
      </c>
      <c r="AE24" s="77">
        <v>2.2320000000000002</v>
      </c>
      <c r="AF24" s="75">
        <v>2.3580000000000001</v>
      </c>
      <c r="AG24" s="96"/>
      <c r="AH24" s="93"/>
      <c r="AI24" s="93"/>
      <c r="AJ24" s="93"/>
      <c r="AK24" s="93"/>
      <c r="AL24" s="93"/>
      <c r="AM24" s="93"/>
      <c r="AN24" s="93"/>
      <c r="AO24" s="93"/>
      <c r="AP24" s="93"/>
    </row>
    <row r="25" spans="2:42">
      <c r="B25" s="4" t="s">
        <v>86</v>
      </c>
      <c r="C25" s="4" t="s">
        <v>69</v>
      </c>
      <c r="D25" s="77" t="s">
        <v>48</v>
      </c>
      <c r="E25" s="4">
        <v>25</v>
      </c>
      <c r="F25" s="75" t="s">
        <v>49</v>
      </c>
      <c r="G25" s="75">
        <v>10</v>
      </c>
      <c r="H25" s="77" t="s">
        <v>70</v>
      </c>
      <c r="I25" s="75">
        <v>75</v>
      </c>
      <c r="J25" s="77" t="s">
        <v>49</v>
      </c>
      <c r="K25" s="4" t="s">
        <v>49</v>
      </c>
      <c r="L25" s="4" t="s">
        <v>49</v>
      </c>
      <c r="M25" s="4" t="s">
        <v>49</v>
      </c>
      <c r="N25" s="75" t="s">
        <v>49</v>
      </c>
      <c r="O25" s="77" t="s">
        <v>58</v>
      </c>
      <c r="P25" s="75" t="s">
        <v>66</v>
      </c>
      <c r="Q25" s="77" t="s">
        <v>54</v>
      </c>
      <c r="R25" s="75" t="s">
        <v>49</v>
      </c>
      <c r="S25" s="77" t="s">
        <v>55</v>
      </c>
      <c r="T25" s="75" t="s">
        <v>71</v>
      </c>
      <c r="U25" s="4" t="s">
        <v>54</v>
      </c>
      <c r="V25" s="4" t="s">
        <v>49</v>
      </c>
      <c r="W25" s="4" t="s">
        <v>54</v>
      </c>
      <c r="X25" s="75" t="s">
        <v>49</v>
      </c>
      <c r="Y25" s="4" t="s">
        <v>54</v>
      </c>
      <c r="Z25" s="4" t="s">
        <v>49</v>
      </c>
      <c r="AA25" s="77" t="s">
        <v>49</v>
      </c>
      <c r="AB25" s="75" t="s">
        <v>49</v>
      </c>
      <c r="AC25" s="77">
        <v>5.38</v>
      </c>
      <c r="AD25" s="75">
        <v>5.16</v>
      </c>
      <c r="AE25" s="77">
        <v>2.177</v>
      </c>
      <c r="AF25" s="75">
        <v>2.1429999999999998</v>
      </c>
      <c r="AG25" s="96"/>
      <c r="AH25" s="93"/>
      <c r="AI25" s="93"/>
      <c r="AJ25" s="93"/>
      <c r="AK25" s="93"/>
      <c r="AL25" s="93"/>
      <c r="AM25" s="93"/>
      <c r="AN25" s="93"/>
      <c r="AO25" s="93"/>
      <c r="AP25" s="93"/>
    </row>
    <row r="26" spans="2:42">
      <c r="B26" s="4" t="s">
        <v>87</v>
      </c>
      <c r="C26" s="4" t="s">
        <v>47</v>
      </c>
      <c r="D26" s="77" t="s">
        <v>48</v>
      </c>
      <c r="E26" s="4">
        <v>25</v>
      </c>
      <c r="F26" s="75" t="s">
        <v>49</v>
      </c>
      <c r="G26" s="75">
        <v>10</v>
      </c>
      <c r="H26" s="77" t="s">
        <v>70</v>
      </c>
      <c r="I26" s="75">
        <v>75</v>
      </c>
      <c r="J26" s="77" t="s">
        <v>51</v>
      </c>
      <c r="K26" s="4" t="s">
        <v>52</v>
      </c>
      <c r="L26" s="4" t="s">
        <v>53</v>
      </c>
      <c r="M26" s="4"/>
      <c r="N26" s="75">
        <v>25</v>
      </c>
      <c r="O26" s="77" t="s">
        <v>54</v>
      </c>
      <c r="P26" s="75" t="s">
        <v>49</v>
      </c>
      <c r="Q26" s="77" t="s">
        <v>58</v>
      </c>
      <c r="R26" s="75">
        <v>0.5</v>
      </c>
      <c r="S26" s="77" t="s">
        <v>55</v>
      </c>
      <c r="T26" s="75" t="s">
        <v>71</v>
      </c>
      <c r="U26" s="4" t="s">
        <v>54</v>
      </c>
      <c r="V26" s="4" t="s">
        <v>49</v>
      </c>
      <c r="W26" s="4" t="s">
        <v>54</v>
      </c>
      <c r="X26" s="75" t="s">
        <v>49</v>
      </c>
      <c r="Y26" s="4" t="s">
        <v>54</v>
      </c>
      <c r="Z26" s="4" t="s">
        <v>49</v>
      </c>
      <c r="AA26" s="77" t="s">
        <v>49</v>
      </c>
      <c r="AB26" s="75" t="s">
        <v>49</v>
      </c>
      <c r="AC26" s="77">
        <v>5.2</v>
      </c>
      <c r="AD26" s="75">
        <v>3.96</v>
      </c>
      <c r="AE26" s="77">
        <v>2.2250000000000001</v>
      </c>
      <c r="AF26" s="75">
        <v>2.319</v>
      </c>
      <c r="AG26" s="96"/>
      <c r="AH26" s="93"/>
      <c r="AI26" s="93"/>
      <c r="AJ26" s="93"/>
      <c r="AK26" s="93"/>
      <c r="AL26" s="93"/>
      <c r="AM26" s="93"/>
      <c r="AN26" s="93"/>
      <c r="AO26" s="93"/>
      <c r="AP26" s="93"/>
    </row>
    <row r="27" spans="2:42">
      <c r="B27" s="4" t="s">
        <v>88</v>
      </c>
      <c r="C27" s="4" t="s">
        <v>63</v>
      </c>
      <c r="D27" s="77" t="s">
        <v>48</v>
      </c>
      <c r="E27" s="4">
        <v>25</v>
      </c>
      <c r="F27" s="75" t="s">
        <v>49</v>
      </c>
      <c r="G27" s="75">
        <v>10</v>
      </c>
      <c r="H27" s="77" t="s">
        <v>70</v>
      </c>
      <c r="I27" s="75">
        <v>75</v>
      </c>
      <c r="J27" s="77" t="s">
        <v>51</v>
      </c>
      <c r="K27" s="4" t="s">
        <v>52</v>
      </c>
      <c r="L27" s="4" t="s">
        <v>53</v>
      </c>
      <c r="M27" s="4"/>
      <c r="N27" s="75">
        <v>25</v>
      </c>
      <c r="O27" s="77" t="s">
        <v>54</v>
      </c>
      <c r="P27" s="75" t="s">
        <v>49</v>
      </c>
      <c r="Q27" s="77" t="s">
        <v>58</v>
      </c>
      <c r="R27" s="75">
        <v>0.5</v>
      </c>
      <c r="S27" s="77" t="s">
        <v>55</v>
      </c>
      <c r="T27" s="75" t="s">
        <v>71</v>
      </c>
      <c r="U27" s="4" t="s">
        <v>54</v>
      </c>
      <c r="V27" s="4" t="s">
        <v>49</v>
      </c>
      <c r="W27" s="71">
        <v>0.1</v>
      </c>
      <c r="X27" s="75" t="s">
        <v>61</v>
      </c>
      <c r="Y27" s="4" t="s">
        <v>54</v>
      </c>
      <c r="Z27" s="4" t="s">
        <v>49</v>
      </c>
      <c r="AA27" s="77" t="s">
        <v>49</v>
      </c>
      <c r="AB27" s="75" t="s">
        <v>49</v>
      </c>
      <c r="AC27" s="77">
        <v>5.51</v>
      </c>
      <c r="AD27" s="75">
        <v>4.08</v>
      </c>
      <c r="AE27" s="77">
        <v>2.286</v>
      </c>
      <c r="AF27" s="75">
        <v>2.6339999999999999</v>
      </c>
      <c r="AG27" s="96"/>
      <c r="AH27" s="93"/>
      <c r="AI27" s="93"/>
      <c r="AJ27" s="93"/>
      <c r="AK27" s="93"/>
      <c r="AL27" s="93"/>
      <c r="AM27" s="93"/>
      <c r="AN27" s="93"/>
      <c r="AO27" s="93"/>
      <c r="AP27" s="93"/>
    </row>
    <row r="28" spans="2:42">
      <c r="B28" s="4" t="s">
        <v>89</v>
      </c>
      <c r="C28" s="4" t="s">
        <v>65</v>
      </c>
      <c r="D28" s="74" t="s">
        <v>48</v>
      </c>
      <c r="E28" s="4">
        <v>25</v>
      </c>
      <c r="F28" s="75" t="s">
        <v>49</v>
      </c>
      <c r="G28" s="75">
        <v>10</v>
      </c>
      <c r="H28" s="77" t="s">
        <v>70</v>
      </c>
      <c r="I28" s="75">
        <v>75</v>
      </c>
      <c r="J28" s="77" t="s">
        <v>51</v>
      </c>
      <c r="K28" s="4" t="s">
        <v>52</v>
      </c>
      <c r="L28" s="4" t="s">
        <v>53</v>
      </c>
      <c r="M28" s="4">
        <v>2.2000000000000002</v>
      </c>
      <c r="N28" s="75">
        <v>25</v>
      </c>
      <c r="O28" s="77" t="s">
        <v>58</v>
      </c>
      <c r="P28" s="75" t="s">
        <v>66</v>
      </c>
      <c r="Q28" s="77" t="s">
        <v>58</v>
      </c>
      <c r="R28" s="75">
        <v>0.5</v>
      </c>
      <c r="S28" s="77" t="s">
        <v>55</v>
      </c>
      <c r="T28" s="75" t="s">
        <v>71</v>
      </c>
      <c r="U28" s="71">
        <v>0.186</v>
      </c>
      <c r="V28" s="71" t="s">
        <v>61</v>
      </c>
      <c r="W28" s="4">
        <v>0.106</v>
      </c>
      <c r="X28" s="75" t="s">
        <v>61</v>
      </c>
      <c r="Y28" s="4" t="s">
        <v>54</v>
      </c>
      <c r="Z28" s="4" t="s">
        <v>49</v>
      </c>
      <c r="AA28" s="77" t="s">
        <v>49</v>
      </c>
      <c r="AB28" s="75" t="s">
        <v>49</v>
      </c>
      <c r="AC28" s="77">
        <v>5.55</v>
      </c>
      <c r="AD28" s="75">
        <v>4.5599999999999996</v>
      </c>
      <c r="AE28" s="77">
        <v>2.2330000000000001</v>
      </c>
      <c r="AF28" s="78">
        <v>2.44</v>
      </c>
      <c r="AG28" s="94"/>
      <c r="AH28" s="4"/>
    </row>
    <row r="29" spans="2:42">
      <c r="B29" s="4" t="s">
        <v>90</v>
      </c>
      <c r="C29" s="4" t="s">
        <v>91</v>
      </c>
      <c r="D29" s="74" t="s">
        <v>48</v>
      </c>
      <c r="E29" s="4">
        <v>25</v>
      </c>
      <c r="F29" s="75" t="s">
        <v>49</v>
      </c>
      <c r="G29" s="75">
        <v>10</v>
      </c>
      <c r="H29" s="77" t="s">
        <v>70</v>
      </c>
      <c r="I29" s="75">
        <v>75</v>
      </c>
      <c r="J29" s="77" t="s">
        <v>51</v>
      </c>
      <c r="K29" s="4" t="s">
        <v>52</v>
      </c>
      <c r="L29" s="4" t="s">
        <v>53</v>
      </c>
      <c r="M29" s="4">
        <v>2.2000000000000002</v>
      </c>
      <c r="N29" s="75">
        <v>25</v>
      </c>
      <c r="O29" s="77" t="s">
        <v>58</v>
      </c>
      <c r="P29" s="75" t="s">
        <v>66</v>
      </c>
      <c r="Q29" s="77" t="s">
        <v>58</v>
      </c>
      <c r="R29" s="75">
        <v>0.5</v>
      </c>
      <c r="S29" s="77" t="s">
        <v>55</v>
      </c>
      <c r="T29" s="75" t="s">
        <v>71</v>
      </c>
      <c r="U29" s="71">
        <v>0.14399999999999999</v>
      </c>
      <c r="V29" s="71" t="s">
        <v>61</v>
      </c>
      <c r="W29" s="4">
        <v>9.5000000000000001E-2</v>
      </c>
      <c r="X29" s="75" t="s">
        <v>61</v>
      </c>
      <c r="Y29" s="4" t="s">
        <v>54</v>
      </c>
      <c r="Z29" s="4" t="s">
        <v>49</v>
      </c>
      <c r="AA29" s="77" t="s">
        <v>49</v>
      </c>
      <c r="AB29" s="75" t="s">
        <v>49</v>
      </c>
      <c r="AC29" s="77">
        <v>5.6</v>
      </c>
      <c r="AD29" s="75">
        <v>4.4000000000000004</v>
      </c>
      <c r="AE29" s="77">
        <v>2.169</v>
      </c>
      <c r="AF29" s="78" t="s">
        <v>49</v>
      </c>
      <c r="AG29" s="94"/>
      <c r="AH29" s="4"/>
    </row>
    <row r="30" spans="2:42">
      <c r="B30" s="4" t="s">
        <v>92</v>
      </c>
      <c r="C30" s="4" t="s">
        <v>28</v>
      </c>
      <c r="D30" s="74" t="s">
        <v>48</v>
      </c>
      <c r="E30" s="4">
        <v>25</v>
      </c>
      <c r="F30" s="75" t="s">
        <v>49</v>
      </c>
      <c r="G30" s="75">
        <v>10</v>
      </c>
      <c r="H30" s="77" t="s">
        <v>70</v>
      </c>
      <c r="I30" s="75">
        <v>75</v>
      </c>
      <c r="J30" s="77" t="s">
        <v>49</v>
      </c>
      <c r="K30" s="4" t="s">
        <v>49</v>
      </c>
      <c r="L30" s="4" t="s">
        <v>49</v>
      </c>
      <c r="M30" s="4" t="s">
        <v>49</v>
      </c>
      <c r="N30" s="75" t="s">
        <v>49</v>
      </c>
      <c r="O30" s="77" t="s">
        <v>58</v>
      </c>
      <c r="P30" s="75" t="s">
        <v>66</v>
      </c>
      <c r="Q30" s="77" t="s">
        <v>54</v>
      </c>
      <c r="R30" s="75" t="s">
        <v>49</v>
      </c>
      <c r="S30" s="77" t="s">
        <v>55</v>
      </c>
      <c r="T30" s="75" t="s">
        <v>71</v>
      </c>
      <c r="U30" s="71">
        <v>0.19600000000000001</v>
      </c>
      <c r="V30" s="71" t="s">
        <v>61</v>
      </c>
      <c r="W30" s="4" t="s">
        <v>54</v>
      </c>
      <c r="X30" s="75" t="s">
        <v>49</v>
      </c>
      <c r="Y30" s="4" t="s">
        <v>54</v>
      </c>
      <c r="Z30" s="4" t="s">
        <v>49</v>
      </c>
      <c r="AA30" s="77" t="s">
        <v>49</v>
      </c>
      <c r="AB30" s="75" t="s">
        <v>49</v>
      </c>
      <c r="AC30" s="77">
        <v>5.59</v>
      </c>
      <c r="AD30" s="75">
        <v>4.43</v>
      </c>
      <c r="AE30" s="77">
        <v>2.1669999999999998</v>
      </c>
      <c r="AF30" s="78">
        <v>2.2629999999999999</v>
      </c>
      <c r="AG30" s="94"/>
      <c r="AH30" s="4"/>
    </row>
    <row r="31" spans="2:42">
      <c r="B31" s="4" t="s">
        <v>93</v>
      </c>
      <c r="C31" s="4" t="s">
        <v>65</v>
      </c>
      <c r="D31" s="74" t="s">
        <v>48</v>
      </c>
      <c r="E31" s="4">
        <v>50</v>
      </c>
      <c r="F31" s="75" t="s">
        <v>49</v>
      </c>
      <c r="G31" s="75">
        <v>10</v>
      </c>
      <c r="H31" s="77" t="s">
        <v>70</v>
      </c>
      <c r="I31" s="75">
        <v>75</v>
      </c>
      <c r="J31" s="77" t="s">
        <v>51</v>
      </c>
      <c r="K31" s="4" t="s">
        <v>52</v>
      </c>
      <c r="L31" s="4" t="s">
        <v>53</v>
      </c>
      <c r="M31" s="4">
        <v>2.2000000000000002</v>
      </c>
      <c r="N31" s="75">
        <v>25</v>
      </c>
      <c r="O31" s="77" t="s">
        <v>58</v>
      </c>
      <c r="P31" s="75" t="s">
        <v>66</v>
      </c>
      <c r="Q31" s="77" t="s">
        <v>58</v>
      </c>
      <c r="R31" s="75">
        <v>0.5</v>
      </c>
      <c r="S31" s="77" t="s">
        <v>55</v>
      </c>
      <c r="T31" s="75" t="s">
        <v>71</v>
      </c>
      <c r="U31" s="71">
        <v>0.19</v>
      </c>
      <c r="V31" s="71" t="s">
        <v>61</v>
      </c>
      <c r="W31" s="4">
        <v>0.107</v>
      </c>
      <c r="X31" s="75" t="s">
        <v>61</v>
      </c>
      <c r="Y31" s="4" t="s">
        <v>54</v>
      </c>
      <c r="Z31" s="4" t="s">
        <v>49</v>
      </c>
      <c r="AA31" s="77" t="s">
        <v>49</v>
      </c>
      <c r="AB31" s="75" t="s">
        <v>49</v>
      </c>
      <c r="AC31" s="77">
        <v>4.87</v>
      </c>
      <c r="AD31" s="75">
        <v>3.57</v>
      </c>
      <c r="AE31" s="77">
        <v>2.3959999999999999</v>
      </c>
      <c r="AF31" s="78">
        <v>2.5750000000000002</v>
      </c>
      <c r="AG31" s="94"/>
      <c r="AH31" s="4"/>
    </row>
    <row r="32" spans="2:42">
      <c r="B32" s="4" t="s">
        <v>94</v>
      </c>
      <c r="C32" s="4" t="s">
        <v>47</v>
      </c>
      <c r="D32" s="74" t="s">
        <v>48</v>
      </c>
      <c r="E32" s="4">
        <v>50</v>
      </c>
      <c r="F32" s="75" t="s">
        <v>49</v>
      </c>
      <c r="G32" s="75">
        <v>10</v>
      </c>
      <c r="H32" s="77" t="s">
        <v>70</v>
      </c>
      <c r="I32" s="75">
        <v>75</v>
      </c>
      <c r="J32" s="77" t="s">
        <v>51</v>
      </c>
      <c r="K32" s="4" t="s">
        <v>52</v>
      </c>
      <c r="L32" s="4" t="s">
        <v>53</v>
      </c>
      <c r="M32" s="4">
        <v>2.2000000000000002</v>
      </c>
      <c r="N32" s="75">
        <v>25</v>
      </c>
      <c r="O32" s="77" t="s">
        <v>54</v>
      </c>
      <c r="P32" s="75" t="s">
        <v>49</v>
      </c>
      <c r="Q32" s="77" t="s">
        <v>58</v>
      </c>
      <c r="R32" s="75">
        <v>0.5</v>
      </c>
      <c r="S32" s="77" t="s">
        <v>55</v>
      </c>
      <c r="T32" s="75" t="s">
        <v>71</v>
      </c>
      <c r="U32" s="4" t="s">
        <v>54</v>
      </c>
      <c r="V32" s="4" t="s">
        <v>49</v>
      </c>
      <c r="W32" s="4" t="s">
        <v>54</v>
      </c>
      <c r="X32" s="75" t="s">
        <v>49</v>
      </c>
      <c r="Y32" s="4" t="s">
        <v>54</v>
      </c>
      <c r="Z32" s="4" t="s">
        <v>49</v>
      </c>
      <c r="AA32" s="77" t="s">
        <v>49</v>
      </c>
      <c r="AB32" s="75" t="s">
        <v>49</v>
      </c>
      <c r="AC32" s="77">
        <v>5.41</v>
      </c>
      <c r="AD32" s="75">
        <v>3.53</v>
      </c>
      <c r="AE32" s="77">
        <v>2.3820000000000001</v>
      </c>
      <c r="AF32" s="78">
        <v>2.4620000000000002</v>
      </c>
      <c r="AG32" s="94"/>
      <c r="AH32" s="4"/>
    </row>
    <row r="33" spans="2:42">
      <c r="B33" s="4" t="s">
        <v>95</v>
      </c>
      <c r="C33" s="4" t="s">
        <v>63</v>
      </c>
      <c r="D33" s="74" t="s">
        <v>48</v>
      </c>
      <c r="E33" s="4">
        <v>50</v>
      </c>
      <c r="F33" s="75" t="s">
        <v>49</v>
      </c>
      <c r="G33" s="75">
        <v>10</v>
      </c>
      <c r="H33" s="77" t="s">
        <v>70</v>
      </c>
      <c r="I33" s="75">
        <v>75</v>
      </c>
      <c r="J33" s="77" t="s">
        <v>51</v>
      </c>
      <c r="K33" s="4" t="s">
        <v>52</v>
      </c>
      <c r="L33" s="4" t="s">
        <v>53</v>
      </c>
      <c r="M33" s="4">
        <v>2.2000000000000002</v>
      </c>
      <c r="N33" s="75">
        <v>25</v>
      </c>
      <c r="O33" s="77" t="s">
        <v>54</v>
      </c>
      <c r="P33" s="75" t="s">
        <v>49</v>
      </c>
      <c r="Q33" s="77" t="s">
        <v>58</v>
      </c>
      <c r="R33" s="75">
        <v>0.5</v>
      </c>
      <c r="S33" s="77" t="s">
        <v>55</v>
      </c>
      <c r="T33" s="75" t="s">
        <v>71</v>
      </c>
      <c r="U33" s="4" t="s">
        <v>54</v>
      </c>
      <c r="V33" s="4" t="s">
        <v>49</v>
      </c>
      <c r="W33" s="71">
        <v>9.1200000000000003E-2</v>
      </c>
      <c r="X33" s="75" t="s">
        <v>61</v>
      </c>
      <c r="Y33" s="4" t="s">
        <v>54</v>
      </c>
      <c r="Z33" s="4" t="s">
        <v>49</v>
      </c>
      <c r="AA33" s="77" t="s">
        <v>49</v>
      </c>
      <c r="AB33" s="75" t="s">
        <v>49</v>
      </c>
      <c r="AC33" s="77">
        <v>5.29</v>
      </c>
      <c r="AD33" s="75">
        <v>3.78</v>
      </c>
      <c r="AE33" s="77">
        <v>2.3370000000000002</v>
      </c>
      <c r="AF33" s="78">
        <v>2.5459999999999998</v>
      </c>
      <c r="AG33" s="94"/>
      <c r="AH33" s="4"/>
    </row>
    <row r="34" spans="2:42">
      <c r="B34" s="4" t="s">
        <v>96</v>
      </c>
      <c r="C34" s="4" t="s">
        <v>63</v>
      </c>
      <c r="D34" s="74" t="s">
        <v>48</v>
      </c>
      <c r="E34" s="4">
        <v>50</v>
      </c>
      <c r="F34" s="75" t="s">
        <v>49</v>
      </c>
      <c r="G34" s="75">
        <v>10</v>
      </c>
      <c r="H34" s="77" t="s">
        <v>70</v>
      </c>
      <c r="I34" s="75">
        <v>75</v>
      </c>
      <c r="J34" s="77" t="s">
        <v>51</v>
      </c>
      <c r="K34" s="4" t="s">
        <v>52</v>
      </c>
      <c r="L34" s="4" t="s">
        <v>53</v>
      </c>
      <c r="M34" s="4">
        <v>2.2000000000000002</v>
      </c>
      <c r="N34" s="75">
        <v>25</v>
      </c>
      <c r="O34" s="77" t="s">
        <v>54</v>
      </c>
      <c r="P34" s="75" t="s">
        <v>49</v>
      </c>
      <c r="Q34" s="77" t="s">
        <v>58</v>
      </c>
      <c r="R34" s="75">
        <v>0.5</v>
      </c>
      <c r="S34" s="77" t="s">
        <v>55</v>
      </c>
      <c r="T34" s="75" t="s">
        <v>71</v>
      </c>
      <c r="U34" s="4" t="s">
        <v>54</v>
      </c>
      <c r="V34" s="4" t="s">
        <v>49</v>
      </c>
      <c r="W34" s="4">
        <v>0.20899999999999999</v>
      </c>
      <c r="X34" s="75" t="s">
        <v>61</v>
      </c>
      <c r="Y34" s="4" t="s">
        <v>54</v>
      </c>
      <c r="Z34" s="4" t="s">
        <v>49</v>
      </c>
      <c r="AA34" s="77" t="s">
        <v>49</v>
      </c>
      <c r="AB34" s="75" t="s">
        <v>49</v>
      </c>
      <c r="AC34" s="77">
        <v>5.22</v>
      </c>
      <c r="AD34" s="75">
        <v>3.39</v>
      </c>
      <c r="AE34" s="77">
        <v>2.0830000000000002</v>
      </c>
      <c r="AF34" s="78">
        <v>2.36</v>
      </c>
      <c r="AG34" s="94"/>
      <c r="AH34" s="4"/>
    </row>
    <row r="35" spans="2:42" ht="18">
      <c r="B35" s="4" t="s">
        <v>97</v>
      </c>
      <c r="C35" s="4" t="s">
        <v>98</v>
      </c>
      <c r="D35" s="74" t="s">
        <v>48</v>
      </c>
      <c r="E35" s="4">
        <v>50</v>
      </c>
      <c r="F35" s="75" t="s">
        <v>49</v>
      </c>
      <c r="G35" s="75">
        <v>10</v>
      </c>
      <c r="H35" s="77" t="s">
        <v>70</v>
      </c>
      <c r="I35" s="75">
        <v>75</v>
      </c>
      <c r="J35" s="77" t="s">
        <v>51</v>
      </c>
      <c r="K35" s="4" t="s">
        <v>52</v>
      </c>
      <c r="L35" s="4" t="s">
        <v>53</v>
      </c>
      <c r="M35" s="4">
        <v>2.2000000000000002</v>
      </c>
      <c r="N35" s="75">
        <v>25</v>
      </c>
      <c r="O35" s="77" t="s">
        <v>54</v>
      </c>
      <c r="P35" s="75" t="s">
        <v>49</v>
      </c>
      <c r="Q35" s="77" t="s">
        <v>58</v>
      </c>
      <c r="R35" s="75">
        <v>0.5</v>
      </c>
      <c r="S35" s="77" t="s">
        <v>55</v>
      </c>
      <c r="T35" s="75" t="s">
        <v>71</v>
      </c>
      <c r="U35" s="4" t="s">
        <v>54</v>
      </c>
      <c r="V35" s="4" t="s">
        <v>49</v>
      </c>
      <c r="W35" s="4">
        <v>0.20300000000000001</v>
      </c>
      <c r="X35" s="75" t="s">
        <v>99</v>
      </c>
      <c r="Y35" s="4" t="s">
        <v>54</v>
      </c>
      <c r="Z35" s="4" t="s">
        <v>49</v>
      </c>
      <c r="AA35" s="77" t="s">
        <v>100</v>
      </c>
      <c r="AB35" s="75" t="s">
        <v>49</v>
      </c>
      <c r="AC35" s="77">
        <v>5.14</v>
      </c>
      <c r="AD35" s="75">
        <v>3.52</v>
      </c>
      <c r="AE35" s="77">
        <v>2.0699999999999998</v>
      </c>
      <c r="AF35" s="78">
        <v>2.214</v>
      </c>
      <c r="AG35" s="94" t="s">
        <v>101</v>
      </c>
      <c r="AH35" s="4"/>
    </row>
    <row r="36" spans="2:42" ht="14.45" customHeight="1">
      <c r="B36" s="4" t="s">
        <v>102</v>
      </c>
      <c r="C36" s="4" t="s">
        <v>103</v>
      </c>
      <c r="D36" s="74" t="s">
        <v>48</v>
      </c>
      <c r="E36" s="4">
        <v>50</v>
      </c>
      <c r="F36" s="75" t="s">
        <v>49</v>
      </c>
      <c r="G36" s="75">
        <v>10</v>
      </c>
      <c r="H36" s="77" t="s">
        <v>70</v>
      </c>
      <c r="I36" s="75">
        <v>75</v>
      </c>
      <c r="J36" s="77" t="s">
        <v>51</v>
      </c>
      <c r="K36" s="4" t="s">
        <v>52</v>
      </c>
      <c r="L36" s="4" t="s">
        <v>53</v>
      </c>
      <c r="M36" s="4">
        <v>2.2000000000000002</v>
      </c>
      <c r="N36" s="75">
        <v>25</v>
      </c>
      <c r="O36" s="77" t="s">
        <v>54</v>
      </c>
      <c r="P36" s="75" t="s">
        <v>49</v>
      </c>
      <c r="Q36" s="77" t="s">
        <v>58</v>
      </c>
      <c r="R36" s="75">
        <v>0.5</v>
      </c>
      <c r="S36" s="77" t="s">
        <v>55</v>
      </c>
      <c r="T36" s="75" t="s">
        <v>71</v>
      </c>
      <c r="U36" s="4" t="s">
        <v>54</v>
      </c>
      <c r="V36" s="4" t="s">
        <v>49</v>
      </c>
      <c r="W36" s="4">
        <v>0.21199999999999999</v>
      </c>
      <c r="X36" s="75" t="s">
        <v>61</v>
      </c>
      <c r="Y36" s="4" t="s">
        <v>54</v>
      </c>
      <c r="Z36" s="4" t="s">
        <v>49</v>
      </c>
      <c r="AA36" s="77" t="s">
        <v>49</v>
      </c>
      <c r="AB36" s="75" t="s">
        <v>104</v>
      </c>
      <c r="AC36" s="77">
        <v>5.0599999999999996</v>
      </c>
      <c r="AD36" s="75">
        <v>3.78</v>
      </c>
      <c r="AE36" s="77">
        <v>2.3879999999999999</v>
      </c>
      <c r="AF36" s="78">
        <v>2.5459999999999998</v>
      </c>
      <c r="AG36" s="95" t="s">
        <v>105</v>
      </c>
      <c r="AH36" s="7"/>
      <c r="AI36" s="7"/>
      <c r="AJ36" s="7"/>
      <c r="AK36" s="7"/>
      <c r="AL36" s="7"/>
      <c r="AM36" s="7"/>
      <c r="AN36" s="7"/>
      <c r="AO36" s="7"/>
      <c r="AP36" s="7"/>
    </row>
    <row r="37" spans="2:42" s="92" customFormat="1" ht="14.45" customHeight="1">
      <c r="B37" s="50" t="s">
        <v>106</v>
      </c>
      <c r="C37" s="50" t="s">
        <v>103</v>
      </c>
      <c r="D37" s="88" t="s">
        <v>48</v>
      </c>
      <c r="E37" s="50">
        <v>50</v>
      </c>
      <c r="F37" s="89" t="s">
        <v>49</v>
      </c>
      <c r="G37" s="89">
        <v>10</v>
      </c>
      <c r="H37" s="90" t="s">
        <v>70</v>
      </c>
      <c r="I37" s="89">
        <v>75</v>
      </c>
      <c r="J37" s="90" t="s">
        <v>51</v>
      </c>
      <c r="K37" s="50" t="s">
        <v>52</v>
      </c>
      <c r="L37" s="50" t="s">
        <v>53</v>
      </c>
      <c r="M37" s="50">
        <v>2.2000000000000002</v>
      </c>
      <c r="N37" s="89">
        <v>25</v>
      </c>
      <c r="O37" s="90" t="s">
        <v>54</v>
      </c>
      <c r="P37" s="89" t="s">
        <v>49</v>
      </c>
      <c r="Q37" s="90" t="s">
        <v>58</v>
      </c>
      <c r="R37" s="89">
        <v>0.5</v>
      </c>
      <c r="S37" s="90" t="s">
        <v>55</v>
      </c>
      <c r="T37" s="89" t="s">
        <v>71</v>
      </c>
      <c r="U37" s="50" t="s">
        <v>54</v>
      </c>
      <c r="V37" s="50" t="s">
        <v>49</v>
      </c>
      <c r="W37" s="50">
        <v>9.0999999999999998E-2</v>
      </c>
      <c r="X37" s="89" t="s">
        <v>61</v>
      </c>
      <c r="Y37" s="4" t="s">
        <v>54</v>
      </c>
      <c r="Z37" s="4" t="s">
        <v>49</v>
      </c>
      <c r="AA37" s="90" t="s">
        <v>49</v>
      </c>
      <c r="AB37" s="89" t="s">
        <v>107</v>
      </c>
      <c r="AC37" s="90">
        <v>5.0999999999999996</v>
      </c>
      <c r="AD37" s="89">
        <v>2.78</v>
      </c>
      <c r="AE37" s="90">
        <v>2.4689999999999999</v>
      </c>
      <c r="AF37" s="91">
        <v>3.9169999999999998</v>
      </c>
      <c r="AG37" s="95" t="s">
        <v>108</v>
      </c>
      <c r="AH37" s="7"/>
      <c r="AI37" s="7"/>
      <c r="AJ37" s="7"/>
      <c r="AK37" s="7"/>
      <c r="AL37" s="7"/>
      <c r="AM37" s="7"/>
      <c r="AN37" s="7"/>
      <c r="AO37" s="7"/>
      <c r="AP37" s="7"/>
    </row>
    <row r="38" spans="2:42">
      <c r="B38" s="4" t="s">
        <v>109</v>
      </c>
      <c r="C38" s="4" t="s">
        <v>47</v>
      </c>
      <c r="D38" s="74" t="s">
        <v>48</v>
      </c>
      <c r="E38" s="4">
        <v>50</v>
      </c>
      <c r="F38" s="75" t="s">
        <v>49</v>
      </c>
      <c r="G38" s="75">
        <v>10</v>
      </c>
      <c r="H38" s="77" t="s">
        <v>70</v>
      </c>
      <c r="I38" s="75">
        <v>75</v>
      </c>
      <c r="J38" s="77" t="s">
        <v>51</v>
      </c>
      <c r="K38" s="4" t="s">
        <v>52</v>
      </c>
      <c r="L38" s="4" t="s">
        <v>53</v>
      </c>
      <c r="M38" s="4">
        <v>2.2000000000000002</v>
      </c>
      <c r="N38" s="75">
        <v>25</v>
      </c>
      <c r="O38" s="77" t="s">
        <v>54</v>
      </c>
      <c r="P38" s="75" t="s">
        <v>49</v>
      </c>
      <c r="Q38" s="77" t="s">
        <v>54</v>
      </c>
      <c r="R38" s="75" t="s">
        <v>49</v>
      </c>
      <c r="S38" s="77" t="s">
        <v>55</v>
      </c>
      <c r="T38" s="75" t="s">
        <v>71</v>
      </c>
      <c r="U38" s="4" t="s">
        <v>54</v>
      </c>
      <c r="V38" s="4" t="s">
        <v>49</v>
      </c>
      <c r="W38" s="4" t="s">
        <v>54</v>
      </c>
      <c r="X38" s="75" t="s">
        <v>49</v>
      </c>
      <c r="Y38" s="4" t="s">
        <v>54</v>
      </c>
      <c r="Z38" s="4" t="s">
        <v>49</v>
      </c>
      <c r="AA38" s="77" t="s">
        <v>49</v>
      </c>
      <c r="AB38" s="75" t="s">
        <v>49</v>
      </c>
      <c r="AC38" s="77">
        <v>5</v>
      </c>
      <c r="AD38" s="75">
        <v>3.59</v>
      </c>
      <c r="AE38" s="77">
        <v>2.5609999999999999</v>
      </c>
      <c r="AF38" s="78">
        <v>2.6190000000000002</v>
      </c>
      <c r="AG38" s="94"/>
      <c r="AH38" s="4"/>
    </row>
    <row r="39" spans="2:42">
      <c r="B39" s="4" t="s">
        <v>110</v>
      </c>
      <c r="C39" s="4" t="s">
        <v>47</v>
      </c>
      <c r="D39" s="79" t="s">
        <v>111</v>
      </c>
      <c r="E39" s="4">
        <v>50</v>
      </c>
      <c r="F39" s="75">
        <v>50</v>
      </c>
      <c r="G39" s="75">
        <v>10</v>
      </c>
      <c r="H39" s="77" t="s">
        <v>70</v>
      </c>
      <c r="I39" s="75">
        <v>75</v>
      </c>
      <c r="J39" s="77" t="s">
        <v>51</v>
      </c>
      <c r="K39" s="4" t="s">
        <v>52</v>
      </c>
      <c r="L39" s="4" t="s">
        <v>53</v>
      </c>
      <c r="M39" s="4">
        <v>2.2000000000000002</v>
      </c>
      <c r="N39" s="75">
        <v>25</v>
      </c>
      <c r="O39" s="77" t="s">
        <v>54</v>
      </c>
      <c r="P39" s="75" t="s">
        <v>49</v>
      </c>
      <c r="Q39" s="77" t="s">
        <v>54</v>
      </c>
      <c r="R39" s="75" t="s">
        <v>49</v>
      </c>
      <c r="S39" s="77" t="s">
        <v>55</v>
      </c>
      <c r="T39" s="75" t="s">
        <v>71</v>
      </c>
      <c r="U39" s="4" t="s">
        <v>54</v>
      </c>
      <c r="V39" s="4" t="s">
        <v>49</v>
      </c>
      <c r="W39" s="4" t="s">
        <v>54</v>
      </c>
      <c r="X39" s="75" t="s">
        <v>49</v>
      </c>
      <c r="Y39" s="4" t="s">
        <v>54</v>
      </c>
      <c r="Z39" s="4" t="s">
        <v>49</v>
      </c>
      <c r="AA39" s="77" t="s">
        <v>49</v>
      </c>
      <c r="AB39" s="75" t="s">
        <v>49</v>
      </c>
      <c r="AC39" s="77">
        <v>5.24</v>
      </c>
      <c r="AD39" s="75">
        <v>3.66</v>
      </c>
      <c r="AE39" s="77">
        <v>2.5219999999999998</v>
      </c>
      <c r="AF39" s="78">
        <v>2.5579999999999998</v>
      </c>
      <c r="AG39" s="94"/>
      <c r="AH39" s="4"/>
    </row>
    <row r="40" spans="2:42">
      <c r="B40" s="4" t="s">
        <v>112</v>
      </c>
      <c r="C40" s="4" t="s">
        <v>63</v>
      </c>
      <c r="D40" s="79" t="s">
        <v>111</v>
      </c>
      <c r="E40" s="4">
        <v>50</v>
      </c>
      <c r="F40" s="75">
        <v>50</v>
      </c>
      <c r="G40" s="75">
        <v>10</v>
      </c>
      <c r="H40" s="77" t="s">
        <v>70</v>
      </c>
      <c r="I40" s="75">
        <v>75</v>
      </c>
      <c r="J40" s="77" t="s">
        <v>51</v>
      </c>
      <c r="K40" s="4" t="s">
        <v>52</v>
      </c>
      <c r="L40" s="4" t="s">
        <v>53</v>
      </c>
      <c r="M40" s="4">
        <v>2.2000000000000002</v>
      </c>
      <c r="N40" s="75">
        <v>25</v>
      </c>
      <c r="O40" s="77" t="s">
        <v>54</v>
      </c>
      <c r="P40" s="75" t="s">
        <v>49</v>
      </c>
      <c r="Q40" s="77" t="s">
        <v>58</v>
      </c>
      <c r="R40" s="75">
        <v>0.5</v>
      </c>
      <c r="S40" s="77" t="s">
        <v>55</v>
      </c>
      <c r="T40" s="75" t="s">
        <v>71</v>
      </c>
      <c r="U40" s="4" t="s">
        <v>54</v>
      </c>
      <c r="V40" s="4" t="s">
        <v>49</v>
      </c>
      <c r="W40" s="4">
        <v>8.3000000000000004E-2</v>
      </c>
      <c r="X40" s="75" t="s">
        <v>61</v>
      </c>
      <c r="Y40" s="4" t="s">
        <v>54</v>
      </c>
      <c r="Z40" s="4" t="s">
        <v>49</v>
      </c>
      <c r="AA40" s="77" t="s">
        <v>49</v>
      </c>
      <c r="AB40" s="75" t="s">
        <v>49</v>
      </c>
      <c r="AC40" s="77">
        <v>5.31</v>
      </c>
      <c r="AD40" s="75">
        <v>3.53</v>
      </c>
      <c r="AE40" s="77">
        <v>2.4380000000000002</v>
      </c>
      <c r="AF40" s="78">
        <v>2.7629999999999999</v>
      </c>
      <c r="AG40" s="94"/>
      <c r="AH40" s="4"/>
    </row>
    <row r="41" spans="2:42">
      <c r="B41" s="4" t="s">
        <v>113</v>
      </c>
      <c r="C41" s="4" t="s">
        <v>47</v>
      </c>
      <c r="D41" s="80" t="s">
        <v>114</v>
      </c>
      <c r="E41" s="4" t="s">
        <v>49</v>
      </c>
      <c r="F41" s="75">
        <v>50</v>
      </c>
      <c r="G41" s="75">
        <v>10</v>
      </c>
      <c r="H41" s="77" t="s">
        <v>70</v>
      </c>
      <c r="I41" s="75">
        <v>75</v>
      </c>
      <c r="J41" s="77" t="s">
        <v>51</v>
      </c>
      <c r="K41" s="4" t="s">
        <v>52</v>
      </c>
      <c r="L41" s="4" t="s">
        <v>53</v>
      </c>
      <c r="M41" s="4">
        <v>2.2000000000000002</v>
      </c>
      <c r="N41" s="75">
        <v>25</v>
      </c>
      <c r="O41" s="77" t="s">
        <v>54</v>
      </c>
      <c r="P41" s="75" t="s">
        <v>49</v>
      </c>
      <c r="Q41" s="77" t="s">
        <v>54</v>
      </c>
      <c r="R41" s="75" t="s">
        <v>49</v>
      </c>
      <c r="S41" s="77" t="s">
        <v>55</v>
      </c>
      <c r="T41" s="75" t="s">
        <v>71</v>
      </c>
      <c r="U41" s="4" t="s">
        <v>54</v>
      </c>
      <c r="V41" s="4" t="s">
        <v>49</v>
      </c>
      <c r="W41" s="4" t="s">
        <v>54</v>
      </c>
      <c r="X41" s="75" t="s">
        <v>49</v>
      </c>
      <c r="Y41" s="4" t="s">
        <v>54</v>
      </c>
      <c r="Z41" s="4" t="s">
        <v>49</v>
      </c>
      <c r="AA41" s="77" t="s">
        <v>49</v>
      </c>
      <c r="AB41" s="75" t="s">
        <v>49</v>
      </c>
      <c r="AC41" s="77">
        <v>5.87</v>
      </c>
      <c r="AD41" s="75">
        <v>4.49</v>
      </c>
      <c r="AE41" s="77">
        <v>2.4580000000000002</v>
      </c>
      <c r="AF41" s="78">
        <v>2.4390000000000001</v>
      </c>
      <c r="AG41" s="94"/>
      <c r="AH41" s="4"/>
    </row>
    <row r="42" spans="2:42">
      <c r="B42" s="4" t="s">
        <v>115</v>
      </c>
      <c r="C42" s="4" t="s">
        <v>63</v>
      </c>
      <c r="D42" s="73" t="s">
        <v>114</v>
      </c>
      <c r="E42" s="4" t="s">
        <v>49</v>
      </c>
      <c r="F42" s="4">
        <v>50</v>
      </c>
      <c r="G42" s="4">
        <v>10</v>
      </c>
      <c r="H42" s="4" t="s">
        <v>70</v>
      </c>
      <c r="I42" s="4">
        <v>75</v>
      </c>
      <c r="J42" s="4" t="s">
        <v>51</v>
      </c>
      <c r="K42" s="4" t="s">
        <v>52</v>
      </c>
      <c r="L42" s="4" t="s">
        <v>53</v>
      </c>
      <c r="M42" s="4">
        <v>2.2000000000000002</v>
      </c>
      <c r="N42" s="4">
        <v>25</v>
      </c>
      <c r="O42" s="4" t="s">
        <v>54</v>
      </c>
      <c r="P42" s="4" t="s">
        <v>49</v>
      </c>
      <c r="Q42" s="4" t="s">
        <v>58</v>
      </c>
      <c r="R42" s="4">
        <v>0.5</v>
      </c>
      <c r="S42" s="4" t="s">
        <v>55</v>
      </c>
      <c r="T42" s="4" t="s">
        <v>71</v>
      </c>
      <c r="U42" s="4" t="s">
        <v>54</v>
      </c>
      <c r="V42" s="4" t="s">
        <v>49</v>
      </c>
      <c r="W42" s="4">
        <v>8.2000000000000003E-2</v>
      </c>
      <c r="X42" s="4" t="s">
        <v>61</v>
      </c>
      <c r="Y42" s="4" t="s">
        <v>54</v>
      </c>
      <c r="Z42" s="4" t="s">
        <v>49</v>
      </c>
      <c r="AA42" s="4" t="s">
        <v>49</v>
      </c>
      <c r="AB42" s="4" t="s">
        <v>49</v>
      </c>
      <c r="AC42" s="4">
        <v>6.3</v>
      </c>
      <c r="AD42" s="4">
        <v>3.55</v>
      </c>
      <c r="AE42" s="4">
        <v>2.2749999999999999</v>
      </c>
      <c r="AF42" s="4">
        <v>2.3109999999999999</v>
      </c>
      <c r="AG42" s="4"/>
      <c r="AH42" s="4"/>
    </row>
    <row r="43" spans="2:42">
      <c r="B43" s="4" t="s">
        <v>116</v>
      </c>
      <c r="C43" s="4" t="s">
        <v>63</v>
      </c>
      <c r="D43" s="4" t="s">
        <v>111</v>
      </c>
      <c r="E43" s="4">
        <v>50</v>
      </c>
      <c r="F43" s="4">
        <v>50</v>
      </c>
      <c r="G43" s="4">
        <v>10</v>
      </c>
      <c r="H43" s="4" t="s">
        <v>70</v>
      </c>
      <c r="I43" s="4">
        <v>75</v>
      </c>
      <c r="J43" s="4" t="s">
        <v>51</v>
      </c>
      <c r="K43" s="4" t="s">
        <v>52</v>
      </c>
      <c r="L43" s="4" t="s">
        <v>53</v>
      </c>
      <c r="M43" s="4"/>
      <c r="N43" s="4">
        <v>25</v>
      </c>
      <c r="O43" s="4" t="s">
        <v>54</v>
      </c>
      <c r="P43" s="4" t="s">
        <v>49</v>
      </c>
      <c r="Q43" s="4" t="s">
        <v>58</v>
      </c>
      <c r="R43" s="4">
        <v>0.5</v>
      </c>
      <c r="S43" s="4" t="s">
        <v>55</v>
      </c>
      <c r="T43" s="4" t="s">
        <v>71</v>
      </c>
      <c r="U43" s="4" t="s">
        <v>54</v>
      </c>
      <c r="V43" s="4" t="s">
        <v>49</v>
      </c>
      <c r="W43" s="4">
        <v>8.3000000000000004E-2</v>
      </c>
      <c r="X43" s="4" t="s">
        <v>117</v>
      </c>
      <c r="Y43" s="4" t="s">
        <v>54</v>
      </c>
      <c r="Z43" s="4" t="s">
        <v>49</v>
      </c>
      <c r="AA43" s="4" t="s">
        <v>49</v>
      </c>
      <c r="AB43" s="4" t="s">
        <v>49</v>
      </c>
      <c r="AC43" s="4"/>
      <c r="AD43" s="4"/>
      <c r="AE43" s="4"/>
      <c r="AF43" s="4"/>
    </row>
  </sheetData>
  <mergeCells count="9">
    <mergeCell ref="D4:F4"/>
    <mergeCell ref="J4:N4"/>
    <mergeCell ref="O4:P4"/>
    <mergeCell ref="AG4:AG5"/>
    <mergeCell ref="AC4:AD4"/>
    <mergeCell ref="AE4:AF4"/>
    <mergeCell ref="H4:I4"/>
    <mergeCell ref="Q4:R4"/>
    <mergeCell ref="S4:T4"/>
  </mergeCells>
  <phoneticPr fontId="7" type="noConversion"/>
  <pageMargins left="0.7" right="0.7" top="0.75" bottom="0.75" header="0.3" footer="0.3"/>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1B2D4-CB1A-4422-BB5D-21844B2F4E7B}">
  <dimension ref="B4:K68"/>
  <sheetViews>
    <sheetView topLeftCell="A8" zoomScale="58" zoomScaleNormal="58" workbookViewId="0">
      <selection activeCell="B25" sqref="B25"/>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 min="10" max="10" width="27.5703125" customWidth="1"/>
  </cols>
  <sheetData>
    <row r="4" spans="2:11" ht="15.75">
      <c r="B4" s="10"/>
    </row>
    <row r="5" spans="2:11" ht="15.75" thickBot="1"/>
    <row r="6" spans="2:11" ht="18.75" thickBot="1">
      <c r="B6" s="30" t="s">
        <v>119</v>
      </c>
      <c r="C6" s="29" t="s">
        <v>36</v>
      </c>
      <c r="D6" s="26" t="s">
        <v>120</v>
      </c>
      <c r="E6" s="30" t="s">
        <v>121</v>
      </c>
      <c r="F6" s="30" t="s">
        <v>122</v>
      </c>
      <c r="G6" s="29" t="s">
        <v>123</v>
      </c>
      <c r="H6" s="28" t="s">
        <v>124</v>
      </c>
    </row>
    <row r="7" spans="2:11" ht="29.45" customHeight="1">
      <c r="B7" s="124" t="s">
        <v>167</v>
      </c>
      <c r="C7" s="122">
        <v>9.1200000000000003E-2</v>
      </c>
      <c r="D7" s="126" t="s">
        <v>126</v>
      </c>
      <c r="E7" s="128" t="s">
        <v>126</v>
      </c>
      <c r="F7" s="128" t="s">
        <v>162</v>
      </c>
      <c r="G7" s="121" t="s">
        <v>151</v>
      </c>
      <c r="H7" s="121" t="s">
        <v>140</v>
      </c>
    </row>
    <row r="8" spans="2:11" ht="37.5" customHeight="1">
      <c r="B8" s="124"/>
      <c r="C8" s="122"/>
      <c r="D8" s="126"/>
      <c r="E8" s="124"/>
      <c r="F8" s="124"/>
      <c r="G8" s="122"/>
      <c r="H8" s="122"/>
    </row>
    <row r="9" spans="2:11" ht="15.75" thickBot="1">
      <c r="B9" s="125"/>
      <c r="C9" s="123"/>
      <c r="D9" s="127"/>
      <c r="E9" s="125"/>
      <c r="F9" s="125"/>
      <c r="G9" s="123"/>
      <c r="H9" s="123"/>
    </row>
    <row r="10" spans="2:11">
      <c r="E10" s="3"/>
      <c r="F10" s="3"/>
      <c r="G10" s="3"/>
      <c r="H10" s="3"/>
      <c r="I10" s="3"/>
    </row>
    <row r="13" spans="2:11" ht="15.75" thickBot="1"/>
    <row r="14" spans="2:11" ht="15.75" thickBot="1">
      <c r="B14" s="45" t="s">
        <v>129</v>
      </c>
      <c r="C14" s="46" t="s">
        <v>130</v>
      </c>
      <c r="D14" s="46" t="s">
        <v>131</v>
      </c>
      <c r="E14" s="46" t="s">
        <v>2</v>
      </c>
      <c r="F14" s="46" t="s">
        <v>133</v>
      </c>
      <c r="G14" s="47" t="s">
        <v>134</v>
      </c>
      <c r="H14" s="6" t="s">
        <v>168</v>
      </c>
      <c r="J14" s="24" t="s">
        <v>135</v>
      </c>
      <c r="K14" s="23">
        <f>(5.31+5.27)/2</f>
        <v>5.2899999999999991</v>
      </c>
    </row>
    <row r="15" spans="2:11" ht="15.75" thickBot="1">
      <c r="B15" s="36">
        <v>0</v>
      </c>
      <c r="C15" s="34">
        <v>5.4</v>
      </c>
      <c r="D15" s="35">
        <v>25</v>
      </c>
      <c r="E15" s="34">
        <v>10198.9</v>
      </c>
      <c r="F15" s="34">
        <f>E15/209.57</f>
        <v>48.665839576275232</v>
      </c>
      <c r="G15" s="33">
        <f t="shared" ref="G15:G26" si="0">($F$15-F15)/$F$15*100</f>
        <v>0</v>
      </c>
      <c r="H15" s="72">
        <f>-LN(F15/$F$15)</f>
        <v>0</v>
      </c>
      <c r="J15" s="22" t="s">
        <v>136</v>
      </c>
      <c r="K15" s="21">
        <f>(3.78+3.77)/2</f>
        <v>3.7749999999999999</v>
      </c>
    </row>
    <row r="16" spans="2:11" ht="15.75" thickBot="1">
      <c r="B16" s="16">
        <v>5</v>
      </c>
      <c r="C16" s="2">
        <v>5.4</v>
      </c>
      <c r="D16" s="3">
        <v>25</v>
      </c>
      <c r="E16" s="2">
        <v>9228.2999999999993</v>
      </c>
      <c r="F16" s="2">
        <f>E16/209.57</f>
        <v>44.034451495920216</v>
      </c>
      <c r="G16" s="32">
        <f t="shared" si="0"/>
        <v>9.5167125866515079</v>
      </c>
      <c r="H16" s="72">
        <f t="shared" ref="H16:H26" si="1">-LN(F16/$F$15)</f>
        <v>0.1000050218014788</v>
      </c>
    </row>
    <row r="17" spans="2:11">
      <c r="B17" s="16">
        <v>15</v>
      </c>
      <c r="C17" s="2">
        <v>5.3</v>
      </c>
      <c r="D17" s="3">
        <v>25</v>
      </c>
      <c r="E17" s="2">
        <v>8158.9</v>
      </c>
      <c r="F17" s="2">
        <f t="shared" ref="F17:F26" si="2">E17/209.57</f>
        <v>38.931621892446437</v>
      </c>
      <c r="G17" s="32">
        <f t="shared" si="0"/>
        <v>20.002157095373036</v>
      </c>
      <c r="H17" s="72">
        <f t="shared" si="1"/>
        <v>0.22317051536989965</v>
      </c>
      <c r="J17" s="20" t="s">
        <v>137</v>
      </c>
      <c r="K17" s="19">
        <f>(2.332+2.341)/2</f>
        <v>2.3365</v>
      </c>
    </row>
    <row r="18" spans="2:11" ht="15.75" thickBot="1">
      <c r="B18" s="16">
        <v>30</v>
      </c>
      <c r="C18" s="2">
        <v>5.3</v>
      </c>
      <c r="D18" s="3">
        <v>25</v>
      </c>
      <c r="E18" s="2">
        <v>6022.9</v>
      </c>
      <c r="F18" s="2">
        <f t="shared" si="2"/>
        <v>28.739323376437465</v>
      </c>
      <c r="G18" s="32">
        <f t="shared" si="0"/>
        <v>40.945592171704796</v>
      </c>
      <c r="H18" s="72">
        <f t="shared" si="1"/>
        <v>0.52671100043547903</v>
      </c>
      <c r="J18" s="18" t="s">
        <v>138</v>
      </c>
      <c r="K18" s="44">
        <f>(2.545+2.546)/2</f>
        <v>2.5454999999999997</v>
      </c>
    </row>
    <row r="19" spans="2:11">
      <c r="B19" s="16">
        <v>60</v>
      </c>
      <c r="C19" s="2">
        <v>5.2</v>
      </c>
      <c r="D19" s="3">
        <v>25</v>
      </c>
      <c r="E19" s="2">
        <v>2997.5</v>
      </c>
      <c r="F19" s="2">
        <f t="shared" si="2"/>
        <v>14.303096817292552</v>
      </c>
      <c r="G19" s="32">
        <f t="shared" si="0"/>
        <v>70.609575542460462</v>
      </c>
      <c r="H19" s="72">
        <f t="shared" si="1"/>
        <v>1.2245012634179491</v>
      </c>
    </row>
    <row r="20" spans="2:11">
      <c r="B20" s="16">
        <v>90</v>
      </c>
      <c r="C20" s="2">
        <v>5.0999999999999996</v>
      </c>
      <c r="D20" s="3">
        <v>25</v>
      </c>
      <c r="E20" s="2">
        <v>1634.2</v>
      </c>
      <c r="F20" s="2">
        <f t="shared" si="2"/>
        <v>7.7978718328004968</v>
      </c>
      <c r="G20" s="32">
        <f t="shared" si="0"/>
        <v>83.976703369971275</v>
      </c>
      <c r="H20" s="72">
        <f t="shared" si="1"/>
        <v>1.8311264833690111</v>
      </c>
    </row>
    <row r="21" spans="2:11">
      <c r="B21" s="16">
        <v>120</v>
      </c>
      <c r="C21" s="2">
        <v>5.0999999999999996</v>
      </c>
      <c r="D21" s="3">
        <v>25</v>
      </c>
      <c r="E21" s="2">
        <v>944.1</v>
      </c>
      <c r="F21" s="2">
        <f t="shared" si="2"/>
        <v>4.5049386839719432</v>
      </c>
      <c r="G21" s="32">
        <f t="shared" si="0"/>
        <v>90.743119356008989</v>
      </c>
      <c r="H21" s="72">
        <f t="shared" si="1"/>
        <v>2.3798030575811473</v>
      </c>
    </row>
    <row r="22" spans="2:11">
      <c r="B22" s="16">
        <v>150</v>
      </c>
      <c r="C22" s="2">
        <v>5.0999999999999996</v>
      </c>
      <c r="D22" s="3">
        <v>25</v>
      </c>
      <c r="E22" s="2">
        <v>652.6</v>
      </c>
      <c r="F22" s="2">
        <f t="shared" si="2"/>
        <v>3.1139953237581719</v>
      </c>
      <c r="G22" s="32">
        <f t="shared" si="0"/>
        <v>93.60127072527429</v>
      </c>
      <c r="H22" s="72">
        <f t="shared" si="1"/>
        <v>2.7490707661603979</v>
      </c>
    </row>
    <row r="23" spans="2:11">
      <c r="B23" s="16">
        <v>180</v>
      </c>
      <c r="C23" s="2">
        <v>5.0999999999999996</v>
      </c>
      <c r="D23" s="3">
        <v>25</v>
      </c>
      <c r="E23" s="2">
        <v>401.2</v>
      </c>
      <c r="F23" s="2">
        <f t="shared" si="2"/>
        <v>1.9143961444863291</v>
      </c>
      <c r="G23" s="32">
        <f t="shared" si="0"/>
        <v>96.066242437909963</v>
      </c>
      <c r="H23" s="72">
        <f t="shared" si="1"/>
        <v>3.2355750942318378</v>
      </c>
    </row>
    <row r="24" spans="2:11">
      <c r="B24" s="16">
        <v>240</v>
      </c>
      <c r="C24" s="2">
        <v>5</v>
      </c>
      <c r="D24" s="3">
        <v>25</v>
      </c>
      <c r="E24" s="2">
        <v>150.30000000000001</v>
      </c>
      <c r="F24" s="2">
        <f t="shared" si="2"/>
        <v>0.71718280288209202</v>
      </c>
      <c r="G24" s="32">
        <f t="shared" si="0"/>
        <v>98.526311661061484</v>
      </c>
      <c r="H24" s="72">
        <f t="shared" si="1"/>
        <v>4.2174018535606894</v>
      </c>
    </row>
    <row r="25" spans="2:11">
      <c r="B25" s="16">
        <v>300</v>
      </c>
      <c r="C25" s="2">
        <v>5</v>
      </c>
      <c r="D25" s="3">
        <v>25</v>
      </c>
      <c r="E25" s="2">
        <v>79</v>
      </c>
      <c r="F25" s="2">
        <f t="shared" si="2"/>
        <v>0.37696235148160523</v>
      </c>
      <c r="G25" s="32">
        <f t="shared" si="0"/>
        <v>99.225406661502717</v>
      </c>
      <c r="H25" s="72">
        <f t="shared" si="1"/>
        <v>4.8605872978525966</v>
      </c>
    </row>
    <row r="26" spans="2:11" ht="15.75" thickBot="1">
      <c r="B26" s="14">
        <v>360</v>
      </c>
      <c r="C26" s="12">
        <v>5</v>
      </c>
      <c r="D26" s="13">
        <v>25</v>
      </c>
      <c r="E26" s="13">
        <v>46</v>
      </c>
      <c r="F26" s="12">
        <f t="shared" si="2"/>
        <v>0.21949706541966885</v>
      </c>
      <c r="G26" s="31">
        <f t="shared" si="0"/>
        <v>99.548970967457279</v>
      </c>
      <c r="H26" s="72">
        <f t="shared" si="1"/>
        <v>5.401393753830523</v>
      </c>
    </row>
    <row r="28" spans="2:11" ht="15.75">
      <c r="B28" s="10"/>
    </row>
    <row r="30" spans="2:11">
      <c r="B30" s="8"/>
      <c r="C30" s="8"/>
      <c r="D30" s="9"/>
      <c r="E30" s="8"/>
      <c r="F30" s="8"/>
      <c r="G30" s="8"/>
      <c r="H30" s="8"/>
    </row>
    <row r="31" spans="2:11" ht="14.45" customHeight="1">
      <c r="B31" s="7"/>
      <c r="C31" s="7"/>
      <c r="D31" s="7"/>
      <c r="E31" s="7"/>
      <c r="F31" s="7"/>
      <c r="G31" s="7"/>
      <c r="H31" s="7"/>
    </row>
    <row r="32" spans="2:11">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ADCDD-9021-46D4-A1AE-A18D1CF6614F}">
  <dimension ref="B4:L68"/>
  <sheetViews>
    <sheetView topLeftCell="A5" zoomScale="63" zoomScaleNormal="63" workbookViewId="0">
      <selection activeCell="J19" sqref="J19"/>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16.42578125" customWidth="1"/>
    <col min="10" max="10" width="28.5703125" customWidth="1"/>
    <col min="11" max="11" width="29" customWidth="1"/>
  </cols>
  <sheetData>
    <row r="4" spans="2:12" ht="15.75">
      <c r="B4" s="10"/>
    </row>
    <row r="5" spans="2:12" ht="15.75" thickBot="1"/>
    <row r="6" spans="2:12" ht="18.75" thickBot="1">
      <c r="B6" s="30" t="s">
        <v>119</v>
      </c>
      <c r="C6" s="29" t="s">
        <v>36</v>
      </c>
      <c r="D6" s="26" t="s">
        <v>120</v>
      </c>
      <c r="E6" s="30" t="s">
        <v>121</v>
      </c>
      <c r="F6" s="30" t="s">
        <v>122</v>
      </c>
      <c r="G6" s="29" t="s">
        <v>123</v>
      </c>
      <c r="H6" s="28" t="s">
        <v>124</v>
      </c>
    </row>
    <row r="7" spans="2:12" ht="29.45" customHeight="1">
      <c r="B7" s="124" t="s">
        <v>167</v>
      </c>
      <c r="C7" s="122">
        <v>0.20899999999999999</v>
      </c>
      <c r="D7" s="126" t="s">
        <v>126</v>
      </c>
      <c r="E7" s="128" t="s">
        <v>126</v>
      </c>
      <c r="F7" s="128" t="s">
        <v>162</v>
      </c>
      <c r="G7" s="121" t="s">
        <v>151</v>
      </c>
      <c r="H7" s="121" t="s">
        <v>140</v>
      </c>
    </row>
    <row r="8" spans="2:12" ht="37.5" customHeight="1">
      <c r="B8" s="124"/>
      <c r="C8" s="122"/>
      <c r="D8" s="126"/>
      <c r="E8" s="124"/>
      <c r="F8" s="124"/>
      <c r="G8" s="122"/>
      <c r="H8" s="122"/>
    </row>
    <row r="9" spans="2:12" ht="15.75" thickBot="1">
      <c r="B9" s="125"/>
      <c r="C9" s="123"/>
      <c r="D9" s="127"/>
      <c r="E9" s="125"/>
      <c r="F9" s="125"/>
      <c r="G9" s="123"/>
      <c r="H9" s="123"/>
    </row>
    <row r="10" spans="2:12">
      <c r="E10" s="3"/>
      <c r="F10" s="3"/>
      <c r="G10" s="3"/>
      <c r="H10" s="3"/>
      <c r="I10" s="3"/>
    </row>
    <row r="12" spans="2:12">
      <c r="D12" t="s">
        <v>169</v>
      </c>
      <c r="E12">
        <v>363.7</v>
      </c>
    </row>
    <row r="13" spans="2:12" ht="15.75" thickBot="1"/>
    <row r="14" spans="2:12" ht="15.75" thickBot="1">
      <c r="B14" s="27" t="s">
        <v>129</v>
      </c>
      <c r="C14" s="26" t="s">
        <v>130</v>
      </c>
      <c r="D14" s="26" t="s">
        <v>131</v>
      </c>
      <c r="E14" s="26" t="s">
        <v>2</v>
      </c>
      <c r="F14" s="26" t="s">
        <v>170</v>
      </c>
      <c r="G14" s="26" t="s">
        <v>133</v>
      </c>
      <c r="H14" s="25" t="s">
        <v>134</v>
      </c>
      <c r="I14" s="6" t="s">
        <v>171</v>
      </c>
      <c r="K14" s="24" t="s">
        <v>135</v>
      </c>
      <c r="L14" s="23">
        <f>(5.25+5.19)/2</f>
        <v>5.2200000000000006</v>
      </c>
    </row>
    <row r="15" spans="2:12" ht="15.75" thickBot="1">
      <c r="B15" s="16">
        <v>0</v>
      </c>
      <c r="C15" s="2">
        <v>5.4</v>
      </c>
      <c r="D15" s="3">
        <v>25</v>
      </c>
      <c r="E15" s="2">
        <v>10544.1</v>
      </c>
      <c r="F15" s="1">
        <f>E15-$E$12</f>
        <v>10180.4</v>
      </c>
      <c r="G15" s="2">
        <f>F15/209.57</f>
        <v>48.577563582573845</v>
      </c>
      <c r="H15" s="32">
        <f t="shared" ref="H15:H26" si="0">($G$15-G15)/$G$15*100</f>
        <v>0</v>
      </c>
      <c r="I15" s="72">
        <f>-LN(G15/$G$15)</f>
        <v>0</v>
      </c>
      <c r="K15" s="22" t="s">
        <v>136</v>
      </c>
      <c r="L15" s="21">
        <f>(3.46+3.32)/2</f>
        <v>3.3899999999999997</v>
      </c>
    </row>
    <row r="16" spans="2:12" ht="15.75" thickBot="1">
      <c r="B16" s="16">
        <v>5</v>
      </c>
      <c r="C16" s="2">
        <v>5.5</v>
      </c>
      <c r="D16" s="3">
        <v>25</v>
      </c>
      <c r="E16" s="2">
        <v>9556.6</v>
      </c>
      <c r="F16" s="1">
        <f t="shared" ref="F16:F26" si="1">E16-$E$12</f>
        <v>9192.9</v>
      </c>
      <c r="G16" s="2">
        <f t="shared" ref="G16:G26" si="2">F16/209.57</f>
        <v>43.865534189053776</v>
      </c>
      <c r="H16" s="32">
        <f t="shared" si="0"/>
        <v>9.7000117873561038</v>
      </c>
      <c r="I16" s="72">
        <f t="shared" ref="I16:I26" si="3">-LN(G16/$G$15)</f>
        <v>0.10203285610066513</v>
      </c>
    </row>
    <row r="17" spans="2:12">
      <c r="B17" s="16">
        <v>15</v>
      </c>
      <c r="C17" s="2">
        <v>5.4</v>
      </c>
      <c r="D17" s="3">
        <v>25</v>
      </c>
      <c r="E17" s="2">
        <v>7112</v>
      </c>
      <c r="F17" s="1">
        <f t="shared" si="1"/>
        <v>6748.3</v>
      </c>
      <c r="G17" s="2">
        <f t="shared" si="2"/>
        <v>32.200696664598944</v>
      </c>
      <c r="H17" s="32">
        <f t="shared" si="0"/>
        <v>33.712820714313779</v>
      </c>
      <c r="I17" s="72">
        <f t="shared" si="3"/>
        <v>0.41117368176869923</v>
      </c>
      <c r="K17" s="20" t="s">
        <v>137</v>
      </c>
      <c r="L17" s="48">
        <f>(2.085+2.08)/2</f>
        <v>2.0825</v>
      </c>
    </row>
    <row r="18" spans="2:12" ht="15.75" thickBot="1">
      <c r="B18" s="16">
        <v>30</v>
      </c>
      <c r="C18" s="2">
        <v>5.3</v>
      </c>
      <c r="D18" s="3">
        <v>25</v>
      </c>
      <c r="E18" s="2">
        <v>5391</v>
      </c>
      <c r="F18" s="1">
        <f t="shared" si="1"/>
        <v>5027.3</v>
      </c>
      <c r="G18" s="2">
        <f t="shared" si="2"/>
        <v>23.988643412702203</v>
      </c>
      <c r="H18" s="32">
        <f t="shared" si="0"/>
        <v>50.617853915366787</v>
      </c>
      <c r="I18" s="72">
        <f t="shared" si="3"/>
        <v>0.70558124241128661</v>
      </c>
      <c r="K18" s="18" t="s">
        <v>138</v>
      </c>
      <c r="L18" s="44">
        <f>(2.4+2.32)/2</f>
        <v>2.36</v>
      </c>
    </row>
    <row r="19" spans="2:12">
      <c r="B19" s="16">
        <v>60</v>
      </c>
      <c r="C19" s="2">
        <v>5.2</v>
      </c>
      <c r="D19" s="3">
        <v>25</v>
      </c>
      <c r="E19" s="2">
        <v>3499.7</v>
      </c>
      <c r="F19" s="1">
        <f t="shared" si="1"/>
        <v>3136</v>
      </c>
      <c r="G19" s="2">
        <f t="shared" si="2"/>
        <v>14.963973851219164</v>
      </c>
      <c r="H19" s="32">
        <f t="shared" si="0"/>
        <v>69.195709402381041</v>
      </c>
      <c r="I19" s="72">
        <f t="shared" si="3"/>
        <v>1.177516200593121</v>
      </c>
    </row>
    <row r="20" spans="2:12">
      <c r="B20" s="16">
        <v>100</v>
      </c>
      <c r="C20" s="2">
        <v>5.0999999999999996</v>
      </c>
      <c r="D20" s="3">
        <v>25</v>
      </c>
      <c r="E20" s="2">
        <v>2194.1</v>
      </c>
      <c r="F20" s="1">
        <f t="shared" si="1"/>
        <v>1830.3999999999999</v>
      </c>
      <c r="G20" s="2">
        <f t="shared" si="2"/>
        <v>8.7340745335687355</v>
      </c>
      <c r="H20" s="32">
        <f t="shared" si="0"/>
        <v>82.020352834859139</v>
      </c>
      <c r="I20" s="72">
        <f t="shared" si="3"/>
        <v>1.7159297808779408</v>
      </c>
    </row>
    <row r="21" spans="2:12">
      <c r="B21" s="16">
        <v>127</v>
      </c>
      <c r="C21" s="2">
        <v>5.0999999999999996</v>
      </c>
      <c r="D21" s="3">
        <v>25</v>
      </c>
      <c r="E21" s="2">
        <v>1731</v>
      </c>
      <c r="F21" s="1">
        <f t="shared" si="1"/>
        <v>1367.3</v>
      </c>
      <c r="G21" s="2">
        <f t="shared" si="2"/>
        <v>6.5243116858328962</v>
      </c>
      <c r="H21" s="32">
        <f t="shared" si="0"/>
        <v>86.569290008251144</v>
      </c>
      <c r="I21" s="72">
        <f t="shared" si="3"/>
        <v>2.0076263107483832</v>
      </c>
    </row>
    <row r="22" spans="2:12">
      <c r="B22" s="16">
        <v>150</v>
      </c>
      <c r="C22" s="2">
        <v>5.0999999999999996</v>
      </c>
      <c r="D22" s="3">
        <v>25</v>
      </c>
      <c r="E22" s="2">
        <v>1286.2</v>
      </c>
      <c r="F22" s="1">
        <f t="shared" si="1"/>
        <v>922.5</v>
      </c>
      <c r="G22" s="2">
        <f t="shared" si="2"/>
        <v>4.4018704967314024</v>
      </c>
      <c r="H22" s="32">
        <f t="shared" si="0"/>
        <v>90.938470001178729</v>
      </c>
      <c r="I22" s="72">
        <f t="shared" si="3"/>
        <v>2.4011322061487372</v>
      </c>
    </row>
    <row r="23" spans="2:12">
      <c r="B23" s="16">
        <v>180</v>
      </c>
      <c r="C23" s="2">
        <v>5.0999999999999996</v>
      </c>
      <c r="D23" s="3">
        <v>25</v>
      </c>
      <c r="E23" s="2">
        <v>1029.8</v>
      </c>
      <c r="F23" s="1">
        <f t="shared" si="1"/>
        <v>666.09999999999991</v>
      </c>
      <c r="G23" s="2">
        <f t="shared" si="2"/>
        <v>3.1784129407835087</v>
      </c>
      <c r="H23" s="32">
        <f t="shared" si="0"/>
        <v>93.457035087029979</v>
      </c>
      <c r="I23" s="72">
        <f t="shared" si="3"/>
        <v>2.7267797726442859</v>
      </c>
    </row>
    <row r="24" spans="2:12">
      <c r="B24" s="16">
        <v>247</v>
      </c>
      <c r="C24" s="2">
        <v>5.0999999999999996</v>
      </c>
      <c r="D24" s="3">
        <v>25</v>
      </c>
      <c r="E24" s="2">
        <v>689.1</v>
      </c>
      <c r="F24" s="1">
        <f t="shared" si="1"/>
        <v>325.40000000000003</v>
      </c>
      <c r="G24" s="2">
        <f t="shared" si="2"/>
        <v>1.5527031540773968</v>
      </c>
      <c r="H24" s="32">
        <f t="shared" si="0"/>
        <v>96.803661938627158</v>
      </c>
      <c r="I24" s="72">
        <f t="shared" si="3"/>
        <v>3.4431643872784816</v>
      </c>
    </row>
    <row r="25" spans="2:12">
      <c r="B25" s="16">
        <v>300</v>
      </c>
      <c r="C25" s="2">
        <v>5.2</v>
      </c>
      <c r="D25" s="3">
        <v>25</v>
      </c>
      <c r="E25" s="2">
        <v>525.9</v>
      </c>
      <c r="F25" s="1">
        <f t="shared" si="1"/>
        <v>162.19999999999999</v>
      </c>
      <c r="G25" s="2">
        <f t="shared" si="2"/>
        <v>0.77396573937109314</v>
      </c>
      <c r="H25" s="32">
        <f t="shared" si="0"/>
        <v>98.406742367686931</v>
      </c>
      <c r="I25" s="72">
        <f t="shared" si="3"/>
        <v>4.1393894403821072</v>
      </c>
    </row>
    <row r="26" spans="2:12" ht="15.75" thickBot="1">
      <c r="B26" s="14">
        <v>360</v>
      </c>
      <c r="C26" s="12">
        <v>5</v>
      </c>
      <c r="D26" s="13">
        <v>25</v>
      </c>
      <c r="E26" s="13">
        <v>460.4</v>
      </c>
      <c r="F26" s="49">
        <f t="shared" si="1"/>
        <v>96.699999999999989</v>
      </c>
      <c r="G26" s="12">
        <f t="shared" si="2"/>
        <v>0.46142100491482557</v>
      </c>
      <c r="H26" s="31">
        <f t="shared" si="0"/>
        <v>99.050135554595116</v>
      </c>
      <c r="I26" s="72">
        <f t="shared" si="3"/>
        <v>4.6566061796041707</v>
      </c>
    </row>
    <row r="28" spans="2:12" ht="15.75">
      <c r="B28" s="10"/>
    </row>
    <row r="30" spans="2:12">
      <c r="B30" s="8"/>
      <c r="C30" s="8"/>
      <c r="D30" s="9"/>
      <c r="E30" s="8"/>
      <c r="F30" s="8"/>
      <c r="G30" s="8"/>
      <c r="H30" s="8"/>
    </row>
    <row r="31" spans="2:12" ht="14.45" customHeight="1">
      <c r="B31" s="7"/>
      <c r="C31" s="7"/>
      <c r="D31" s="7"/>
      <c r="E31" s="7"/>
      <c r="F31" s="7"/>
      <c r="G31" s="7"/>
      <c r="H31" s="7"/>
    </row>
    <row r="32" spans="2:12">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8132E-AD3A-4279-96CC-300BFBA6ECC9}">
  <dimension ref="B4:J61"/>
  <sheetViews>
    <sheetView topLeftCell="D5" workbookViewId="0">
      <selection activeCell="I13" sqref="I13"/>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s>
  <sheetData>
    <row r="4" spans="2:10" ht="15.75">
      <c r="B4" s="10"/>
    </row>
    <row r="5" spans="2:10" ht="15.75" thickBot="1"/>
    <row r="6" spans="2:10" ht="18.75" thickBot="1">
      <c r="B6" s="30" t="s">
        <v>119</v>
      </c>
      <c r="C6" s="29" t="s">
        <v>36</v>
      </c>
      <c r="D6" s="26" t="s">
        <v>120</v>
      </c>
      <c r="E6" s="30" t="s">
        <v>121</v>
      </c>
      <c r="F6" s="30" t="s">
        <v>122</v>
      </c>
      <c r="G6" s="29" t="s">
        <v>123</v>
      </c>
      <c r="H6" s="28" t="s">
        <v>124</v>
      </c>
      <c r="I6" s="29" t="s">
        <v>172</v>
      </c>
    </row>
    <row r="7" spans="2:10" ht="29.45" customHeight="1">
      <c r="B7" s="124" t="s">
        <v>167</v>
      </c>
      <c r="C7" s="122" t="s">
        <v>173</v>
      </c>
      <c r="D7" s="126" t="s">
        <v>126</v>
      </c>
      <c r="E7" s="128" t="s">
        <v>126</v>
      </c>
      <c r="F7" s="128" t="s">
        <v>162</v>
      </c>
      <c r="G7" s="121" t="s">
        <v>151</v>
      </c>
      <c r="H7" s="121" t="s">
        <v>140</v>
      </c>
      <c r="I7" s="129" t="s">
        <v>174</v>
      </c>
    </row>
    <row r="8" spans="2:10" ht="37.5" customHeight="1">
      <c r="B8" s="124"/>
      <c r="C8" s="122"/>
      <c r="D8" s="126"/>
      <c r="E8" s="124"/>
      <c r="F8" s="124"/>
      <c r="G8" s="122"/>
      <c r="H8" s="122"/>
      <c r="I8" s="130"/>
    </row>
    <row r="9" spans="2:10" ht="15.75" thickBot="1">
      <c r="B9" s="125"/>
      <c r="C9" s="123"/>
      <c r="D9" s="127"/>
      <c r="E9" s="125"/>
      <c r="F9" s="125"/>
      <c r="G9" s="123"/>
      <c r="H9" s="123"/>
      <c r="I9" s="131"/>
    </row>
    <row r="10" spans="2:10">
      <c r="E10" s="3"/>
      <c r="F10" s="3"/>
      <c r="G10" s="3"/>
      <c r="H10" s="3"/>
      <c r="I10" s="3"/>
    </row>
    <row r="13" spans="2:10" ht="15.75" thickBot="1"/>
    <row r="14" spans="2:10" ht="15.75" thickBot="1">
      <c r="B14" s="45" t="s">
        <v>129</v>
      </c>
      <c r="C14" s="46" t="s">
        <v>130</v>
      </c>
      <c r="D14" s="46" t="s">
        <v>131</v>
      </c>
      <c r="E14" s="46" t="s">
        <v>2</v>
      </c>
      <c r="F14" s="46" t="s">
        <v>133</v>
      </c>
      <c r="G14" s="47" t="s">
        <v>134</v>
      </c>
      <c r="I14" s="24" t="s">
        <v>135</v>
      </c>
      <c r="J14" s="23">
        <f>(5.16+5.12)/2</f>
        <v>5.1400000000000006</v>
      </c>
    </row>
    <row r="15" spans="2:10" ht="15.75" thickBot="1">
      <c r="B15" s="36">
        <v>0</v>
      </c>
      <c r="C15" s="34">
        <v>4</v>
      </c>
      <c r="D15" s="35">
        <v>25</v>
      </c>
      <c r="E15" s="34">
        <v>10337.299999999999</v>
      </c>
      <c r="F15" s="34">
        <f>E15/209.57</f>
        <v>49.326239442668317</v>
      </c>
      <c r="G15" s="33">
        <f>($F$15-F15)/$F$15*100</f>
        <v>0</v>
      </c>
      <c r="I15" s="22" t="s">
        <v>136</v>
      </c>
      <c r="J15" s="21">
        <f>(3.54+3.5)/2</f>
        <v>3.52</v>
      </c>
    </row>
    <row r="16" spans="2:10" ht="15.75" thickBot="1">
      <c r="B16" s="16">
        <v>10</v>
      </c>
      <c r="C16" s="2">
        <v>4</v>
      </c>
      <c r="D16" s="3">
        <v>25</v>
      </c>
      <c r="E16" s="2">
        <v>8279.2000000000007</v>
      </c>
      <c r="F16" s="2">
        <f>E16/209.57</f>
        <v>39.505654435272227</v>
      </c>
      <c r="G16" s="32">
        <f>($F$15-F16)/$F$15*100</f>
        <v>19.90945411277605</v>
      </c>
    </row>
    <row r="17" spans="2:10">
      <c r="B17" s="16">
        <v>30</v>
      </c>
      <c r="C17" s="2">
        <v>3.9</v>
      </c>
      <c r="D17" s="3">
        <v>25</v>
      </c>
      <c r="E17" s="2">
        <v>6415.8</v>
      </c>
      <c r="F17" s="2">
        <f>E17/209.57</f>
        <v>30.614114615641554</v>
      </c>
      <c r="G17" s="32">
        <f>($F$15-F17)/$F$15*100</f>
        <v>37.935437686823434</v>
      </c>
      <c r="I17" s="20" t="s">
        <v>137</v>
      </c>
      <c r="J17" s="48">
        <f>(2.074+2.066)/2</f>
        <v>2.0699999999999998</v>
      </c>
    </row>
    <row r="18" spans="2:10" ht="15.75" thickBot="1">
      <c r="B18" s="16">
        <v>60</v>
      </c>
      <c r="C18" s="2">
        <v>3.8</v>
      </c>
      <c r="D18" s="3">
        <v>25</v>
      </c>
      <c r="E18" s="2">
        <v>4480.8</v>
      </c>
      <c r="F18" s="2">
        <f>E18/209.57</f>
        <v>21.380922842009831</v>
      </c>
      <c r="G18" s="32">
        <f>($F$15-F18)/$F$15*100</f>
        <v>56.654058603310339</v>
      </c>
      <c r="I18" s="18" t="s">
        <v>138</v>
      </c>
      <c r="J18" s="44">
        <f>(2.2+2.228)/2</f>
        <v>2.2140000000000004</v>
      </c>
    </row>
    <row r="19" spans="2:10" ht="15.75" thickBot="1">
      <c r="B19" s="14">
        <v>90</v>
      </c>
      <c r="C19" s="12">
        <v>3.7</v>
      </c>
      <c r="D19" s="13">
        <v>25</v>
      </c>
      <c r="E19" s="12">
        <v>1557.4</v>
      </c>
      <c r="F19" s="12">
        <f>E19/209.57</f>
        <v>7.4314071670563537</v>
      </c>
      <c r="G19" s="31">
        <f>($F$15-F19)/$F$15*100</f>
        <v>84.934170431350537</v>
      </c>
    </row>
    <row r="21" spans="2:10" ht="15.75">
      <c r="B21" s="10"/>
    </row>
    <row r="23" spans="2:10">
      <c r="B23" s="8"/>
      <c r="C23" s="8"/>
      <c r="D23" s="9"/>
      <c r="E23" s="8"/>
      <c r="F23" s="8"/>
      <c r="G23" s="8"/>
      <c r="H23" s="8"/>
    </row>
    <row r="24" spans="2:10" ht="14.45" customHeight="1">
      <c r="B24" s="7"/>
      <c r="C24" s="7"/>
      <c r="D24" s="7"/>
      <c r="E24" s="7"/>
      <c r="F24" s="7"/>
      <c r="G24" s="7"/>
      <c r="H24" s="7"/>
    </row>
    <row r="25" spans="2:10">
      <c r="B25" s="7"/>
      <c r="C25" s="7"/>
      <c r="D25" s="7"/>
      <c r="E25" s="7"/>
      <c r="F25" s="7"/>
      <c r="G25" s="7"/>
      <c r="H25" s="7"/>
    </row>
    <row r="26" spans="2:10" ht="34.5" customHeight="1">
      <c r="B26" s="7"/>
      <c r="C26" s="7"/>
      <c r="D26" s="7"/>
      <c r="E26" s="7"/>
      <c r="F26" s="7"/>
      <c r="G26" s="7"/>
      <c r="H26" s="7"/>
    </row>
    <row r="31" spans="2:10">
      <c r="B31" s="6"/>
      <c r="C31" s="6"/>
      <c r="D31" s="6"/>
      <c r="E31" s="6"/>
      <c r="F31" s="6"/>
      <c r="G31" s="6"/>
      <c r="I31" s="6"/>
      <c r="J31" s="3"/>
    </row>
    <row r="32" spans="2:10">
      <c r="B32" s="3"/>
      <c r="C32" s="2"/>
      <c r="D32" s="3"/>
      <c r="E32" s="2"/>
      <c r="F32" s="2"/>
      <c r="G32" s="2"/>
      <c r="I32" s="6"/>
      <c r="J32" s="3"/>
    </row>
    <row r="33" spans="2:10">
      <c r="B33" s="3"/>
      <c r="C33" s="2"/>
      <c r="D33" s="3"/>
      <c r="E33" s="2"/>
      <c r="F33" s="2"/>
      <c r="G33" s="2"/>
    </row>
    <row r="34" spans="2:10">
      <c r="B34" s="3"/>
      <c r="C34" s="2"/>
      <c r="D34" s="3"/>
      <c r="E34" s="2"/>
      <c r="F34" s="2"/>
      <c r="G34" s="2"/>
      <c r="I34" s="5"/>
      <c r="J34" s="4"/>
    </row>
    <row r="35" spans="2:10">
      <c r="B35" s="3"/>
      <c r="C35" s="2"/>
      <c r="D35" s="3"/>
      <c r="E35" s="2"/>
      <c r="F35" s="2"/>
      <c r="G35" s="2"/>
      <c r="I35" s="5"/>
      <c r="J35" s="4"/>
    </row>
    <row r="36" spans="2:10">
      <c r="B36" s="3"/>
      <c r="C36" s="2"/>
      <c r="D36" s="3"/>
      <c r="E36" s="2"/>
      <c r="F36" s="2"/>
      <c r="G36" s="2"/>
    </row>
    <row r="37" spans="2:10">
      <c r="B37" s="3"/>
      <c r="C37" s="2"/>
      <c r="D37" s="3"/>
      <c r="E37" s="2"/>
      <c r="F37" s="2"/>
      <c r="G37" s="2"/>
    </row>
    <row r="38" spans="2:10">
      <c r="B38" s="3"/>
      <c r="C38" s="2"/>
      <c r="D38" s="3"/>
      <c r="E38" s="2"/>
      <c r="F38" s="2"/>
      <c r="G38" s="2"/>
    </row>
    <row r="44" spans="2:10" ht="15.75">
      <c r="B44" s="10"/>
    </row>
    <row r="46" spans="2:10">
      <c r="B46" s="8"/>
      <c r="C46" s="8"/>
      <c r="D46" s="9"/>
      <c r="E46" s="8"/>
      <c r="F46" s="8"/>
      <c r="G46" s="8"/>
      <c r="H46" s="8"/>
    </row>
    <row r="47" spans="2:10" ht="14.45" customHeight="1">
      <c r="B47" s="7"/>
      <c r="C47" s="7"/>
      <c r="D47" s="7"/>
      <c r="E47" s="7"/>
      <c r="F47" s="7"/>
      <c r="G47" s="7"/>
      <c r="H47" s="7"/>
    </row>
    <row r="48" spans="2:10">
      <c r="B48" s="7"/>
      <c r="C48" s="7"/>
      <c r="D48" s="7"/>
      <c r="E48" s="7"/>
      <c r="F48" s="7"/>
      <c r="G48" s="7"/>
      <c r="H48" s="7"/>
    </row>
    <row r="49" spans="2:10" ht="26.1" customHeight="1">
      <c r="B49" s="7"/>
      <c r="C49" s="7"/>
      <c r="D49" s="7"/>
      <c r="E49" s="7"/>
      <c r="F49" s="7"/>
      <c r="G49" s="7"/>
      <c r="H49" s="7"/>
    </row>
    <row r="54" spans="2:10">
      <c r="B54" s="6"/>
      <c r="C54" s="6"/>
      <c r="D54" s="6"/>
      <c r="E54" s="6"/>
      <c r="F54" s="6"/>
      <c r="G54" s="6"/>
      <c r="I54" s="6"/>
      <c r="J54" s="3"/>
    </row>
    <row r="55" spans="2:10">
      <c r="B55" s="3"/>
      <c r="C55" s="2"/>
      <c r="D55" s="3"/>
      <c r="E55" s="2"/>
      <c r="F55" s="2"/>
      <c r="G55" s="2"/>
      <c r="H55" s="1"/>
      <c r="I55" s="6"/>
      <c r="J55" s="3"/>
    </row>
    <row r="56" spans="2:10">
      <c r="B56" s="3"/>
      <c r="C56" s="2"/>
      <c r="D56" s="3"/>
      <c r="E56" s="2"/>
      <c r="F56" s="2"/>
      <c r="G56" s="2"/>
      <c r="H56" s="1"/>
    </row>
    <row r="57" spans="2:10">
      <c r="B57" s="3"/>
      <c r="C57" s="2"/>
      <c r="D57" s="3"/>
      <c r="E57" s="2"/>
      <c r="F57" s="2"/>
      <c r="G57" s="2"/>
      <c r="H57" s="1"/>
      <c r="I57" s="5"/>
      <c r="J57" s="4"/>
    </row>
    <row r="58" spans="2:10">
      <c r="B58" s="3"/>
      <c r="C58" s="2"/>
      <c r="D58" s="3"/>
      <c r="E58" s="2"/>
      <c r="F58" s="2"/>
      <c r="G58" s="2"/>
      <c r="H58" s="1"/>
      <c r="I58" s="5"/>
      <c r="J58" s="4"/>
    </row>
    <row r="59" spans="2:10">
      <c r="B59" s="3"/>
      <c r="C59" s="2"/>
      <c r="D59" s="3"/>
      <c r="E59" s="2"/>
      <c r="F59" s="2"/>
      <c r="G59" s="2"/>
      <c r="H59" s="1"/>
    </row>
    <row r="60" spans="2:10">
      <c r="B60" s="3"/>
      <c r="C60" s="2"/>
      <c r="D60" s="3"/>
      <c r="E60" s="2"/>
      <c r="F60" s="2"/>
      <c r="G60" s="2"/>
      <c r="H60" s="1"/>
    </row>
    <row r="61" spans="2:10">
      <c r="B61" s="3"/>
      <c r="C61" s="2"/>
      <c r="D61" s="3"/>
      <c r="E61" s="2"/>
      <c r="F61" s="2"/>
      <c r="G61" s="2"/>
      <c r="H61" s="1"/>
    </row>
  </sheetData>
  <mergeCells count="8">
    <mergeCell ref="H7:H9"/>
    <mergeCell ref="I7:I9"/>
    <mergeCell ref="B7:B9"/>
    <mergeCell ref="C7:C9"/>
    <mergeCell ref="D7:D9"/>
    <mergeCell ref="E7:E9"/>
    <mergeCell ref="F7:F9"/>
    <mergeCell ref="G7:G9"/>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BC342-238E-4F67-82B0-71E681DEDEFE}">
  <dimension ref="B4:K68"/>
  <sheetViews>
    <sheetView topLeftCell="E9" workbookViewId="0">
      <selection activeCell="I20" sqref="I20"/>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 min="10" max="10" width="29.140625" customWidth="1"/>
  </cols>
  <sheetData>
    <row r="4" spans="2:11" ht="15.75">
      <c r="B4" s="10"/>
    </row>
    <row r="5" spans="2:11" ht="15.75" thickBot="1"/>
    <row r="6" spans="2:11" ht="18.75" thickBot="1">
      <c r="B6" s="30" t="s">
        <v>119</v>
      </c>
      <c r="C6" s="29" t="s">
        <v>36</v>
      </c>
      <c r="D6" s="26" t="s">
        <v>120</v>
      </c>
      <c r="E6" s="30" t="s">
        <v>121</v>
      </c>
      <c r="F6" s="30" t="s">
        <v>122</v>
      </c>
      <c r="G6" s="29" t="s">
        <v>123</v>
      </c>
      <c r="H6" s="28" t="s">
        <v>124</v>
      </c>
    </row>
    <row r="7" spans="2:11" ht="29.45" customHeight="1">
      <c r="B7" s="124" t="s">
        <v>167</v>
      </c>
      <c r="C7" s="122">
        <v>0.21199999999999999</v>
      </c>
      <c r="D7" s="126" t="s">
        <v>126</v>
      </c>
      <c r="E7" s="128" t="s">
        <v>126</v>
      </c>
      <c r="F7" s="128" t="s">
        <v>162</v>
      </c>
      <c r="G7" s="121" t="s">
        <v>151</v>
      </c>
      <c r="H7" s="121" t="s">
        <v>140</v>
      </c>
    </row>
    <row r="8" spans="2:11" ht="37.5" customHeight="1">
      <c r="B8" s="124"/>
      <c r="C8" s="122"/>
      <c r="D8" s="126"/>
      <c r="E8" s="124"/>
      <c r="F8" s="124"/>
      <c r="G8" s="122"/>
      <c r="H8" s="122"/>
    </row>
    <row r="9" spans="2:11" ht="15.75" thickBot="1">
      <c r="B9" s="125"/>
      <c r="C9" s="123"/>
      <c r="D9" s="127"/>
      <c r="E9" s="125"/>
      <c r="F9" s="125"/>
      <c r="G9" s="123"/>
      <c r="H9" s="123"/>
    </row>
    <row r="10" spans="2:11">
      <c r="E10" s="3"/>
      <c r="F10" s="3"/>
      <c r="G10" s="3"/>
      <c r="H10" s="3"/>
      <c r="I10" s="3"/>
    </row>
    <row r="13" spans="2:11" ht="15.75" thickBot="1"/>
    <row r="14" spans="2:11" ht="15.75" thickBot="1">
      <c r="B14" s="45" t="s">
        <v>129</v>
      </c>
      <c r="C14" s="46" t="s">
        <v>130</v>
      </c>
      <c r="D14" s="46" t="s">
        <v>131</v>
      </c>
      <c r="E14" s="46" t="s">
        <v>2</v>
      </c>
      <c r="F14" s="46" t="s">
        <v>133</v>
      </c>
      <c r="G14" s="47" t="s">
        <v>134</v>
      </c>
      <c r="H14" s="6" t="s">
        <v>168</v>
      </c>
      <c r="J14" s="24" t="s">
        <v>135</v>
      </c>
      <c r="K14" s="23">
        <f>(5.08+5.03)/2</f>
        <v>5.0549999999999997</v>
      </c>
    </row>
    <row r="15" spans="2:11" ht="15.75" thickBot="1">
      <c r="B15" s="36">
        <v>0</v>
      </c>
      <c r="C15" s="34">
        <v>5</v>
      </c>
      <c r="D15" s="35">
        <v>25</v>
      </c>
      <c r="E15" s="34">
        <v>10215</v>
      </c>
      <c r="F15" s="34">
        <f>E15/209.57</f>
        <v>48.742663549172114</v>
      </c>
      <c r="G15" s="33">
        <f t="shared" ref="G15:G26" si="0">($F$15-F15)/$F$15*100</f>
        <v>0</v>
      </c>
      <c r="H15" s="72">
        <f>-LN(F15/$F$15)</f>
        <v>0</v>
      </c>
      <c r="J15" s="22" t="s">
        <v>136</v>
      </c>
      <c r="K15" s="21">
        <f>(3.78+3.77)/2</f>
        <v>3.7749999999999999</v>
      </c>
    </row>
    <row r="16" spans="2:11" ht="15.75" thickBot="1">
      <c r="B16" s="16">
        <v>5</v>
      </c>
      <c r="C16" s="2">
        <v>5</v>
      </c>
      <c r="D16" s="3">
        <v>25</v>
      </c>
      <c r="E16" s="2">
        <v>8364.5</v>
      </c>
      <c r="F16" s="2">
        <f>E16/209.57</f>
        <v>39.912678341365655</v>
      </c>
      <c r="G16" s="32">
        <f t="shared" si="0"/>
        <v>18.115516397454719</v>
      </c>
      <c r="H16" s="72">
        <f t="shared" ref="H16:H26" si="1">-LN(F16/$F$15)</f>
        <v>0.199860668480387</v>
      </c>
    </row>
    <row r="17" spans="2:11">
      <c r="B17" s="16">
        <v>15</v>
      </c>
      <c r="C17" s="2">
        <v>4.9000000000000004</v>
      </c>
      <c r="D17" s="3">
        <v>25</v>
      </c>
      <c r="E17" s="2">
        <v>7059.8</v>
      </c>
      <c r="F17" s="2">
        <f t="shared" ref="F17:F26" si="2">E17/209.57</f>
        <v>33.687073531516916</v>
      </c>
      <c r="G17" s="32">
        <f t="shared" si="0"/>
        <v>30.887909936368086</v>
      </c>
      <c r="H17" s="72">
        <f t="shared" si="1"/>
        <v>0.36944050577759541</v>
      </c>
      <c r="J17" s="20" t="s">
        <v>137</v>
      </c>
      <c r="K17" s="19">
        <f>(2.386+2.389)/2</f>
        <v>2.3875000000000002</v>
      </c>
    </row>
    <row r="18" spans="2:11" ht="15.75" thickBot="1">
      <c r="B18" s="16">
        <v>30</v>
      </c>
      <c r="C18" s="2">
        <v>4.8</v>
      </c>
      <c r="D18" s="3">
        <v>25</v>
      </c>
      <c r="E18" s="2">
        <v>5565.4</v>
      </c>
      <c r="F18" s="2">
        <f t="shared" si="2"/>
        <v>26.556281910578804</v>
      </c>
      <c r="G18" s="32">
        <f t="shared" si="0"/>
        <v>45.517376407244249</v>
      </c>
      <c r="H18" s="72">
        <f t="shared" si="1"/>
        <v>0.60728836831743616</v>
      </c>
      <c r="J18" s="18" t="s">
        <v>138</v>
      </c>
      <c r="K18" s="44">
        <f>(2.545+2.546)/2</f>
        <v>2.5454999999999997</v>
      </c>
    </row>
    <row r="19" spans="2:11">
      <c r="B19" s="16">
        <v>60</v>
      </c>
      <c r="C19" s="2">
        <v>4.7</v>
      </c>
      <c r="D19" s="3">
        <v>25</v>
      </c>
      <c r="E19" s="2">
        <v>3629.3</v>
      </c>
      <c r="F19" s="2">
        <f t="shared" si="2"/>
        <v>17.317841294078352</v>
      </c>
      <c r="G19" s="32">
        <f t="shared" si="0"/>
        <v>64.470876162506116</v>
      </c>
      <c r="H19" s="72">
        <f t="shared" si="1"/>
        <v>1.0348174360539253</v>
      </c>
    </row>
    <row r="20" spans="2:11">
      <c r="B20" s="16">
        <v>90</v>
      </c>
      <c r="C20" s="2">
        <v>4.5999999999999996</v>
      </c>
      <c r="D20" s="3">
        <v>25</v>
      </c>
      <c r="E20" s="2">
        <v>2351.1999999999998</v>
      </c>
      <c r="F20" s="2">
        <f t="shared" si="2"/>
        <v>11.219163048146203</v>
      </c>
      <c r="G20" s="32">
        <f t="shared" si="0"/>
        <v>76.98286833088595</v>
      </c>
      <c r="H20" s="72">
        <f t="shared" si="1"/>
        <v>1.4689313921470148</v>
      </c>
    </row>
    <row r="21" spans="2:11">
      <c r="B21" s="16">
        <v>120</v>
      </c>
      <c r="C21" s="2">
        <v>4.5999999999999996</v>
      </c>
      <c r="D21" s="3">
        <v>25</v>
      </c>
      <c r="E21" s="2">
        <v>1535.6</v>
      </c>
      <c r="F21" s="2">
        <f t="shared" si="2"/>
        <v>7.3273846447487712</v>
      </c>
      <c r="G21" s="32">
        <f t="shared" si="0"/>
        <v>84.967205090553108</v>
      </c>
      <c r="H21" s="72">
        <f t="shared" si="1"/>
        <v>1.8949360441250798</v>
      </c>
    </row>
    <row r="22" spans="2:11">
      <c r="B22" s="16">
        <v>150</v>
      </c>
      <c r="C22" s="2">
        <v>4.5999999999999996</v>
      </c>
      <c r="D22" s="3">
        <v>25</v>
      </c>
      <c r="E22" s="2">
        <v>1005.1</v>
      </c>
      <c r="F22" s="2">
        <f t="shared" si="2"/>
        <v>4.7960108794197644</v>
      </c>
      <c r="G22" s="32">
        <f t="shared" si="0"/>
        <v>90.160548213411644</v>
      </c>
      <c r="H22" s="72">
        <f t="shared" si="1"/>
        <v>2.3187701892210284</v>
      </c>
    </row>
    <row r="23" spans="2:11">
      <c r="B23" s="16">
        <v>180</v>
      </c>
      <c r="C23" s="2">
        <v>4.5999999999999996</v>
      </c>
      <c r="D23" s="3">
        <v>25</v>
      </c>
      <c r="E23" s="2">
        <v>639</v>
      </c>
      <c r="F23" s="2">
        <f t="shared" si="2"/>
        <v>3.0491005391993129</v>
      </c>
      <c r="G23" s="32">
        <f t="shared" si="0"/>
        <v>93.744493392070481</v>
      </c>
      <c r="H23" s="72">
        <f t="shared" si="1"/>
        <v>2.7717080528741875</v>
      </c>
    </row>
    <row r="24" spans="2:11">
      <c r="B24" s="16">
        <v>246</v>
      </c>
      <c r="C24" s="2">
        <v>4.5999999999999996</v>
      </c>
      <c r="D24" s="3">
        <v>25</v>
      </c>
      <c r="E24" s="2">
        <v>259.89999999999998</v>
      </c>
      <c r="F24" s="2">
        <f t="shared" si="2"/>
        <v>1.2401584196211288</v>
      </c>
      <c r="G24" s="32">
        <f t="shared" si="0"/>
        <v>97.455702398433672</v>
      </c>
      <c r="H24" s="72">
        <f t="shared" si="1"/>
        <v>3.671315565604278</v>
      </c>
    </row>
    <row r="25" spans="2:11">
      <c r="B25" s="16">
        <v>300</v>
      </c>
      <c r="C25" s="2">
        <v>4.5999999999999996</v>
      </c>
      <c r="D25" s="3">
        <v>25</v>
      </c>
      <c r="E25" s="2">
        <v>109.6</v>
      </c>
      <c r="F25" s="2">
        <f t="shared" si="2"/>
        <v>0.52297561673903703</v>
      </c>
      <c r="G25" s="32">
        <f t="shared" si="0"/>
        <v>98.9270680372002</v>
      </c>
      <c r="H25" s="72">
        <f t="shared" si="1"/>
        <v>4.5347751327378072</v>
      </c>
    </row>
    <row r="26" spans="2:11" ht="15.75" thickBot="1">
      <c r="B26" s="14">
        <v>360</v>
      </c>
      <c r="C26" s="12">
        <v>4.5999999999999996</v>
      </c>
      <c r="D26" s="13">
        <v>25</v>
      </c>
      <c r="E26" s="13">
        <v>53.4</v>
      </c>
      <c r="F26" s="12">
        <f t="shared" si="2"/>
        <v>0.25480746290022427</v>
      </c>
      <c r="G26" s="31">
        <f t="shared" si="0"/>
        <v>99.477239353891335</v>
      </c>
      <c r="H26" s="72">
        <f t="shared" si="1"/>
        <v>5.2538017612855734</v>
      </c>
    </row>
    <row r="28" spans="2:11" ht="15.75">
      <c r="B28" s="10"/>
    </row>
    <row r="30" spans="2:11">
      <c r="B30" s="8"/>
      <c r="C30" s="8"/>
      <c r="D30" s="9"/>
      <c r="E30" s="8"/>
      <c r="F30" s="8"/>
      <c r="G30" s="8"/>
      <c r="H30" s="8"/>
    </row>
    <row r="31" spans="2:11" ht="14.45" customHeight="1">
      <c r="B31" s="7"/>
      <c r="C31" s="7"/>
      <c r="D31" s="7"/>
      <c r="E31" s="7"/>
      <c r="F31" s="7"/>
      <c r="G31" s="7"/>
      <c r="H31" s="7"/>
    </row>
    <row r="32" spans="2:11">
      <c r="B32" s="7"/>
      <c r="C32" s="7"/>
      <c r="D32" s="7"/>
      <c r="E32" s="7"/>
      <c r="F32" s="7"/>
      <c r="G32" s="7"/>
      <c r="H32" s="7"/>
    </row>
    <row r="33" spans="2:10" ht="34.5" customHeight="1">
      <c r="B33" s="7"/>
      <c r="C33" s="7"/>
      <c r="D33" s="7"/>
      <c r="E33" s="7"/>
      <c r="F33" s="7"/>
      <c r="G33" s="7"/>
      <c r="H33" s="7"/>
    </row>
    <row r="38" spans="2:10">
      <c r="B38" s="6"/>
      <c r="C38" s="6"/>
      <c r="D38" s="6"/>
      <c r="E38" s="6"/>
      <c r="F38" s="6"/>
      <c r="G38" s="6"/>
      <c r="I38" s="6"/>
      <c r="J38" s="3"/>
    </row>
    <row r="39" spans="2:10">
      <c r="B39" s="3"/>
      <c r="C39" s="2"/>
      <c r="D39" s="3"/>
      <c r="E39" s="2"/>
      <c r="F39" s="2"/>
      <c r="G39" s="2"/>
      <c r="I39" s="6"/>
      <c r="J39" s="3"/>
    </row>
    <row r="40" spans="2:10">
      <c r="B40" s="3"/>
      <c r="C40" s="2"/>
      <c r="D40" s="3"/>
      <c r="E40" s="2"/>
      <c r="F40" s="2"/>
      <c r="G40" s="2"/>
    </row>
    <row r="41" spans="2:10">
      <c r="B41" s="3"/>
      <c r="C41" s="2"/>
      <c r="D41" s="3"/>
      <c r="E41" s="2"/>
      <c r="F41" s="2"/>
      <c r="G41" s="2"/>
      <c r="I41" s="5"/>
      <c r="J41" s="4"/>
    </row>
    <row r="42" spans="2:10">
      <c r="B42" s="3"/>
      <c r="C42" s="2"/>
      <c r="D42" s="3"/>
      <c r="E42" s="2"/>
      <c r="F42" s="2"/>
      <c r="G42" s="2"/>
      <c r="I42" s="5"/>
      <c r="J42" s="4"/>
    </row>
    <row r="43" spans="2:10">
      <c r="B43" s="3"/>
      <c r="C43" s="2"/>
      <c r="D43" s="3"/>
      <c r="E43" s="2"/>
      <c r="F43" s="2"/>
      <c r="G43" s="2"/>
    </row>
    <row r="44" spans="2:10">
      <c r="B44" s="3"/>
      <c r="C44" s="2"/>
      <c r="D44" s="3"/>
      <c r="E44" s="2"/>
      <c r="F44" s="2"/>
      <c r="G44" s="2"/>
    </row>
    <row r="45" spans="2:10">
      <c r="B45" s="3"/>
      <c r="C45" s="2"/>
      <c r="D45" s="3"/>
      <c r="E45" s="2"/>
      <c r="F45" s="2"/>
      <c r="G45" s="2"/>
    </row>
    <row r="51" spans="2:10" ht="15.75">
      <c r="B51" s="10"/>
    </row>
    <row r="53" spans="2:10">
      <c r="B53" s="8"/>
      <c r="C53" s="8"/>
      <c r="D53" s="9"/>
      <c r="E53" s="8"/>
      <c r="F53" s="8"/>
      <c r="G53" s="8"/>
      <c r="H53" s="8"/>
    </row>
    <row r="54" spans="2:10" ht="14.45" customHeight="1">
      <c r="B54" s="7"/>
      <c r="C54" s="7"/>
      <c r="D54" s="7"/>
      <c r="E54" s="7"/>
      <c r="F54" s="7"/>
      <c r="G54" s="7"/>
      <c r="H54" s="7"/>
    </row>
    <row r="55" spans="2:10">
      <c r="B55" s="7"/>
      <c r="C55" s="7"/>
      <c r="D55" s="7"/>
      <c r="E55" s="7"/>
      <c r="F55" s="7"/>
      <c r="G55" s="7"/>
      <c r="H55" s="7"/>
    </row>
    <row r="56" spans="2:10" ht="26.1" customHeight="1">
      <c r="B56" s="7"/>
      <c r="C56" s="7"/>
      <c r="D56" s="7"/>
      <c r="E56" s="7"/>
      <c r="F56" s="7"/>
      <c r="G56" s="7"/>
      <c r="H56" s="7"/>
    </row>
    <row r="61" spans="2:10">
      <c r="B61" s="6"/>
      <c r="C61" s="6"/>
      <c r="D61" s="6"/>
      <c r="E61" s="6"/>
      <c r="F61" s="6"/>
      <c r="G61" s="6"/>
      <c r="I61" s="6"/>
      <c r="J61" s="3"/>
    </row>
    <row r="62" spans="2:10">
      <c r="B62" s="3"/>
      <c r="C62" s="2"/>
      <c r="D62" s="3"/>
      <c r="E62" s="2"/>
      <c r="F62" s="2"/>
      <c r="G62" s="2"/>
      <c r="H62" s="1"/>
      <c r="I62" s="6"/>
      <c r="J62" s="3"/>
    </row>
    <row r="63" spans="2:10">
      <c r="B63" s="3"/>
      <c r="C63" s="2"/>
      <c r="D63" s="3"/>
      <c r="E63" s="2"/>
      <c r="F63" s="2"/>
      <c r="G63" s="2"/>
      <c r="H63" s="1"/>
    </row>
    <row r="64" spans="2:10">
      <c r="B64" s="3"/>
      <c r="C64" s="2"/>
      <c r="D64" s="3"/>
      <c r="E64" s="2"/>
      <c r="F64" s="2"/>
      <c r="G64" s="2"/>
      <c r="H64" s="1"/>
      <c r="I64" s="5"/>
      <c r="J64" s="4"/>
    </row>
    <row r="65" spans="2:10">
      <c r="B65" s="3"/>
      <c r="C65" s="2"/>
      <c r="D65" s="3"/>
      <c r="E65" s="2"/>
      <c r="F65" s="2"/>
      <c r="G65" s="2"/>
      <c r="H65" s="1"/>
      <c r="I65" s="5"/>
      <c r="J65" s="4"/>
    </row>
    <row r="66" spans="2:10">
      <c r="B66" s="3"/>
      <c r="C66" s="2"/>
      <c r="D66" s="3"/>
      <c r="E66" s="2"/>
      <c r="F66" s="2"/>
      <c r="G66" s="2"/>
      <c r="H66" s="1"/>
    </row>
    <row r="67" spans="2:10">
      <c r="B67" s="3"/>
      <c r="C67" s="2"/>
      <c r="D67" s="3"/>
      <c r="E67" s="2"/>
      <c r="F67" s="2"/>
      <c r="G67" s="2"/>
      <c r="H67" s="1"/>
    </row>
    <row r="68" spans="2:10">
      <c r="B68" s="3"/>
      <c r="C68" s="2"/>
      <c r="D68" s="3"/>
      <c r="E68" s="2"/>
      <c r="F68" s="2"/>
      <c r="G68" s="2"/>
      <c r="H68"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2167-8E20-414C-8556-CD9BECE29F18}">
  <dimension ref="B4:K69"/>
  <sheetViews>
    <sheetView workbookViewId="0">
      <selection activeCell="H12" sqref="H12"/>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 min="10" max="10" width="26.85546875" customWidth="1"/>
  </cols>
  <sheetData>
    <row r="4" spans="2:11" ht="15.75">
      <c r="B4" s="10"/>
    </row>
    <row r="5" spans="2:11" ht="15.75" thickBot="1"/>
    <row r="6" spans="2:11" ht="18.75" thickBot="1">
      <c r="B6" s="30" t="s">
        <v>119</v>
      </c>
      <c r="C6" s="29" t="s">
        <v>36</v>
      </c>
      <c r="D6" s="26" t="s">
        <v>120</v>
      </c>
      <c r="E6" s="30" t="s">
        <v>121</v>
      </c>
      <c r="F6" s="30" t="s">
        <v>122</v>
      </c>
      <c r="G6" s="29" t="s">
        <v>123</v>
      </c>
      <c r="H6" s="28" t="s">
        <v>124</v>
      </c>
    </row>
    <row r="7" spans="2:11" ht="29.45" customHeight="1">
      <c r="B7" s="124" t="s">
        <v>167</v>
      </c>
      <c r="C7" s="122">
        <v>9.0999999999999998E-2</v>
      </c>
      <c r="D7" s="126" t="s">
        <v>126</v>
      </c>
      <c r="E7" s="128" t="s">
        <v>126</v>
      </c>
      <c r="F7" s="128" t="s">
        <v>162</v>
      </c>
      <c r="G7" s="121" t="s">
        <v>151</v>
      </c>
      <c r="H7" s="121" t="s">
        <v>140</v>
      </c>
    </row>
    <row r="8" spans="2:11" ht="37.5" customHeight="1">
      <c r="B8" s="124"/>
      <c r="C8" s="122"/>
      <c r="D8" s="126"/>
      <c r="E8" s="124"/>
      <c r="F8" s="124"/>
      <c r="G8" s="122"/>
      <c r="H8" s="122"/>
    </row>
    <row r="9" spans="2:11" ht="15.75" thickBot="1">
      <c r="B9" s="125"/>
      <c r="C9" s="123"/>
      <c r="D9" s="127"/>
      <c r="E9" s="125"/>
      <c r="F9" s="125"/>
      <c r="G9" s="123"/>
      <c r="H9" s="123"/>
    </row>
    <row r="10" spans="2:11">
      <c r="E10" s="3"/>
      <c r="F10" s="3"/>
      <c r="G10" s="3"/>
      <c r="H10" s="3"/>
      <c r="I10" s="3"/>
    </row>
    <row r="11" spans="2:11" ht="15.75" thickBot="1">
      <c r="E11" s="3"/>
      <c r="F11" s="3"/>
      <c r="G11" s="3"/>
      <c r="H11" s="3"/>
      <c r="I11" s="3"/>
    </row>
    <row r="12" spans="2:11" ht="15.75" thickBot="1">
      <c r="B12" s="29" t="s">
        <v>175</v>
      </c>
      <c r="C12" t="s">
        <v>176</v>
      </c>
      <c r="E12" s="3"/>
      <c r="F12" s="3"/>
      <c r="G12" s="3"/>
      <c r="H12" s="3"/>
      <c r="I12" s="3"/>
    </row>
    <row r="13" spans="2:11" ht="15.75" thickBot="1">
      <c r="B13" s="17" t="s">
        <v>107</v>
      </c>
      <c r="C13" t="s">
        <v>177</v>
      </c>
    </row>
    <row r="14" spans="2:11">
      <c r="C14" t="s">
        <v>178</v>
      </c>
    </row>
    <row r="15" spans="2:11" ht="15.75" thickBot="1"/>
    <row r="16" spans="2:11" ht="15.75" thickBot="1">
      <c r="B16" s="45" t="s">
        <v>129</v>
      </c>
      <c r="C16" s="46" t="s">
        <v>130</v>
      </c>
      <c r="D16" s="46" t="s">
        <v>131</v>
      </c>
      <c r="E16" s="46" t="s">
        <v>2</v>
      </c>
      <c r="F16" s="46" t="s">
        <v>133</v>
      </c>
      <c r="G16" s="47" t="s">
        <v>134</v>
      </c>
      <c r="H16" s="6" t="s">
        <v>168</v>
      </c>
      <c r="J16" s="24" t="s">
        <v>135</v>
      </c>
      <c r="K16" s="23">
        <f>(5.12+5.07)/2</f>
        <v>5.0950000000000006</v>
      </c>
    </row>
    <row r="17" spans="2:11" ht="15.75" thickBot="1">
      <c r="B17" s="36">
        <v>0</v>
      </c>
      <c r="C17" s="34">
        <v>5</v>
      </c>
      <c r="D17" s="35">
        <v>25</v>
      </c>
      <c r="E17" s="34">
        <v>10225.200000000001</v>
      </c>
      <c r="F17" s="34">
        <f>E17/209.57</f>
        <v>48.791334637591262</v>
      </c>
      <c r="G17" s="33">
        <f t="shared" ref="G17:G27" si="0">($F$17-F17)/$F$17*100</f>
        <v>0</v>
      </c>
      <c r="H17" s="72">
        <f>-LN(F17/$F$17)</f>
        <v>0</v>
      </c>
      <c r="J17" s="22" t="s">
        <v>136</v>
      </c>
      <c r="K17" s="21">
        <f>(2.78+2.77)/2</f>
        <v>2.7749999999999999</v>
      </c>
    </row>
    <row r="18" spans="2:11" ht="15.75" thickBot="1">
      <c r="B18" s="16">
        <v>5</v>
      </c>
      <c r="C18" s="2">
        <v>4.9000000000000004</v>
      </c>
      <c r="D18" s="3">
        <v>25</v>
      </c>
      <c r="E18" s="2">
        <v>7356</v>
      </c>
      <c r="F18" s="2">
        <f>E18/209.57</f>
        <v>35.100443765806176</v>
      </c>
      <c r="G18" s="32">
        <f t="shared" si="0"/>
        <v>28.060086844267108</v>
      </c>
      <c r="H18" s="72">
        <f t="shared" ref="H18:H27" si="1">-LN(F18/$F$17)</f>
        <v>0.32933895489769893</v>
      </c>
    </row>
    <row r="19" spans="2:11">
      <c r="B19" s="16">
        <v>15</v>
      </c>
      <c r="C19" s="2">
        <v>4.8</v>
      </c>
      <c r="D19" s="3">
        <v>25</v>
      </c>
      <c r="E19" s="2">
        <v>6112.2</v>
      </c>
      <c r="F19" s="2">
        <f t="shared" ref="F19:F27" si="2">E19/209.57</f>
        <v>29.165433983871736</v>
      </c>
      <c r="G19" s="32">
        <f t="shared" si="0"/>
        <v>40.224152094824561</v>
      </c>
      <c r="H19" s="72">
        <f t="shared" si="1"/>
        <v>0.51456848779783504</v>
      </c>
      <c r="J19" s="20" t="s">
        <v>137</v>
      </c>
      <c r="K19" s="19">
        <f>(2.469+2.468)/2</f>
        <v>2.4684999999999997</v>
      </c>
    </row>
    <row r="20" spans="2:11" ht="15.75" thickBot="1">
      <c r="B20" s="16">
        <v>30</v>
      </c>
      <c r="C20" s="2">
        <v>4.5999999999999996</v>
      </c>
      <c r="D20" s="3">
        <v>25</v>
      </c>
      <c r="E20" s="2">
        <v>4623.7</v>
      </c>
      <c r="F20" s="2">
        <f t="shared" si="2"/>
        <v>22.062795247411366</v>
      </c>
      <c r="G20" s="32">
        <f t="shared" si="0"/>
        <v>54.781324570668552</v>
      </c>
      <c r="H20" s="72">
        <f t="shared" si="1"/>
        <v>0.79366001126715724</v>
      </c>
      <c r="J20" s="18" t="s">
        <v>138</v>
      </c>
      <c r="K20" s="44">
        <f>(3.915+3.919)/2</f>
        <v>3.9169999999999998</v>
      </c>
    </row>
    <row r="21" spans="2:11">
      <c r="B21" s="16">
        <v>60</v>
      </c>
      <c r="C21" s="2">
        <v>4.5</v>
      </c>
      <c r="D21" s="3">
        <v>25</v>
      </c>
      <c r="E21" s="2">
        <v>2961</v>
      </c>
      <c r="F21" s="2">
        <f t="shared" si="2"/>
        <v>14.12893066755738</v>
      </c>
      <c r="G21" s="32">
        <f t="shared" si="0"/>
        <v>71.04213120525759</v>
      </c>
      <c r="H21" s="72">
        <f t="shared" si="1"/>
        <v>1.2393282125203193</v>
      </c>
    </row>
    <row r="22" spans="2:11">
      <c r="B22" s="16">
        <v>90</v>
      </c>
      <c r="C22" s="2">
        <v>4.4000000000000004</v>
      </c>
      <c r="D22" s="3">
        <v>25</v>
      </c>
      <c r="E22" s="2">
        <v>2052.6999999999998</v>
      </c>
      <c r="F22" s="2">
        <f t="shared" si="2"/>
        <v>9.7948179605859611</v>
      </c>
      <c r="G22" s="32">
        <f t="shared" si="0"/>
        <v>79.925087039862305</v>
      </c>
      <c r="H22" s="72">
        <f t="shared" si="1"/>
        <v>1.6056992618987778</v>
      </c>
    </row>
    <row r="23" spans="2:11">
      <c r="B23" s="16">
        <v>120</v>
      </c>
      <c r="C23" s="2">
        <v>4.4000000000000004</v>
      </c>
      <c r="D23" s="3">
        <v>25</v>
      </c>
      <c r="E23" s="2">
        <v>1398.4</v>
      </c>
      <c r="F23" s="2">
        <f t="shared" si="2"/>
        <v>6.672710788757934</v>
      </c>
      <c r="G23" s="32">
        <f t="shared" si="0"/>
        <v>86.323983882955829</v>
      </c>
      <c r="H23" s="72">
        <f t="shared" si="1"/>
        <v>1.9895265357206395</v>
      </c>
    </row>
    <row r="24" spans="2:11">
      <c r="B24" s="16">
        <v>150</v>
      </c>
      <c r="C24" s="2">
        <v>4.4000000000000004</v>
      </c>
      <c r="D24" s="3">
        <v>25</v>
      </c>
      <c r="E24" s="2">
        <v>934.4</v>
      </c>
      <c r="F24" s="2">
        <f t="shared" si="2"/>
        <v>4.4586534332204035</v>
      </c>
      <c r="G24" s="32">
        <f t="shared" si="0"/>
        <v>90.861792434377804</v>
      </c>
      <c r="H24" s="72">
        <f t="shared" si="1"/>
        <v>2.3927059285479482</v>
      </c>
    </row>
    <row r="25" spans="2:11">
      <c r="B25" s="16">
        <v>180</v>
      </c>
      <c r="C25" s="2">
        <v>4.4000000000000004</v>
      </c>
      <c r="D25" s="3">
        <v>25</v>
      </c>
      <c r="E25" s="2">
        <v>387.3</v>
      </c>
      <c r="F25" s="2">
        <f t="shared" si="2"/>
        <v>1.8480698573269077</v>
      </c>
      <c r="G25" s="32">
        <f t="shared" si="0"/>
        <v>96.212299025935934</v>
      </c>
      <c r="H25" s="72">
        <f t="shared" si="1"/>
        <v>3.273410954101204</v>
      </c>
    </row>
    <row r="26" spans="2:11">
      <c r="B26" s="16">
        <v>246</v>
      </c>
      <c r="C26" s="2">
        <v>4.4000000000000004</v>
      </c>
      <c r="D26" s="3">
        <v>25</v>
      </c>
      <c r="E26" s="2">
        <v>153.5</v>
      </c>
      <c r="F26" s="2">
        <f t="shared" si="2"/>
        <v>0.73245216395476453</v>
      </c>
      <c r="G26" s="32">
        <f t="shared" si="0"/>
        <v>98.498806869303309</v>
      </c>
      <c r="H26" s="72">
        <f t="shared" si="1"/>
        <v>4.1989099735946587</v>
      </c>
    </row>
    <row r="27" spans="2:11" ht="15.75" thickBot="1">
      <c r="B27" s="14">
        <v>300</v>
      </c>
      <c r="C27" s="12">
        <v>4.4000000000000004</v>
      </c>
      <c r="D27" s="13">
        <v>25</v>
      </c>
      <c r="E27" s="12">
        <v>56</v>
      </c>
      <c r="F27" s="12">
        <f t="shared" si="2"/>
        <v>0.26721381877177075</v>
      </c>
      <c r="G27" s="31">
        <f t="shared" si="0"/>
        <v>99.452333450690446</v>
      </c>
      <c r="H27" s="72">
        <f t="shared" si="1"/>
        <v>5.2072588498867614</v>
      </c>
    </row>
    <row r="29" spans="2:11" ht="15.75">
      <c r="B29" s="10"/>
    </row>
    <row r="31" spans="2:11">
      <c r="B31" s="8"/>
      <c r="C31" s="8"/>
      <c r="D31" s="9"/>
      <c r="E31" s="8"/>
      <c r="F31" s="8"/>
      <c r="G31" s="8"/>
      <c r="H31" s="8"/>
    </row>
    <row r="32" spans="2:11" ht="14.45" customHeight="1">
      <c r="B32" s="7"/>
      <c r="C32" s="7"/>
      <c r="D32" s="7"/>
      <c r="E32" s="7"/>
      <c r="F32" s="7"/>
      <c r="G32" s="7"/>
      <c r="H32" s="7"/>
    </row>
    <row r="33" spans="2:10">
      <c r="B33" s="7"/>
      <c r="C33" s="7"/>
      <c r="D33" s="7"/>
      <c r="E33" s="7"/>
      <c r="F33" s="7"/>
      <c r="G33" s="7"/>
      <c r="H33" s="7"/>
    </row>
    <row r="34" spans="2:10" ht="34.5" customHeight="1">
      <c r="B34" s="7"/>
      <c r="C34" s="7"/>
      <c r="D34" s="7"/>
      <c r="E34" s="7"/>
      <c r="F34" s="7"/>
      <c r="G34" s="7"/>
      <c r="H34" s="7"/>
    </row>
    <row r="39" spans="2:10">
      <c r="B39" s="6"/>
      <c r="C39" s="6"/>
      <c r="D39" s="6"/>
      <c r="E39" s="6"/>
      <c r="F39" s="6"/>
      <c r="G39" s="6"/>
      <c r="I39" s="6"/>
      <c r="J39" s="3"/>
    </row>
    <row r="40" spans="2:10">
      <c r="B40" s="3"/>
      <c r="C40" s="2"/>
      <c r="D40" s="3"/>
      <c r="E40" s="2"/>
      <c r="F40" s="2"/>
      <c r="G40" s="2"/>
      <c r="I40" s="6"/>
      <c r="J40" s="3"/>
    </row>
    <row r="41" spans="2:10">
      <c r="B41" s="3"/>
      <c r="C41" s="2"/>
      <c r="D41" s="3"/>
      <c r="E41" s="2"/>
      <c r="F41" s="2"/>
      <c r="G41" s="2"/>
    </row>
    <row r="42" spans="2:10">
      <c r="B42" s="3"/>
      <c r="C42" s="2"/>
      <c r="D42" s="3"/>
      <c r="E42" s="2"/>
      <c r="F42" s="2"/>
      <c r="G42" s="2"/>
      <c r="I42" s="5"/>
      <c r="J42" s="4"/>
    </row>
    <row r="43" spans="2:10">
      <c r="B43" s="3"/>
      <c r="C43" s="2"/>
      <c r="D43" s="3"/>
      <c r="E43" s="2"/>
      <c r="F43" s="2"/>
      <c r="G43" s="2"/>
      <c r="I43" s="5"/>
      <c r="J43" s="4"/>
    </row>
    <row r="44" spans="2:10">
      <c r="B44" s="3"/>
      <c r="C44" s="2"/>
      <c r="D44" s="3"/>
      <c r="E44" s="2"/>
      <c r="F44" s="2"/>
      <c r="G44" s="2"/>
    </row>
    <row r="45" spans="2:10">
      <c r="B45" s="3"/>
      <c r="C45" s="2"/>
      <c r="D45" s="3"/>
      <c r="E45" s="2"/>
      <c r="F45" s="2"/>
      <c r="G45" s="2"/>
    </row>
    <row r="46" spans="2:10">
      <c r="B46" s="3"/>
      <c r="C46" s="2"/>
      <c r="D46" s="3"/>
      <c r="E46" s="2"/>
      <c r="F46" s="2"/>
      <c r="G46" s="2"/>
    </row>
    <row r="52" spans="2:10" ht="15.75">
      <c r="B52" s="10"/>
    </row>
    <row r="54" spans="2:10">
      <c r="B54" s="8"/>
      <c r="C54" s="8"/>
      <c r="D54" s="9"/>
      <c r="E54" s="8"/>
      <c r="F54" s="8"/>
      <c r="G54" s="8"/>
      <c r="H54" s="8"/>
    </row>
    <row r="55" spans="2:10" ht="14.45" customHeight="1">
      <c r="B55" s="7"/>
      <c r="C55" s="7"/>
      <c r="D55" s="7"/>
      <c r="E55" s="7"/>
      <c r="F55" s="7"/>
      <c r="G55" s="7"/>
      <c r="H55" s="7"/>
    </row>
    <row r="56" spans="2:10">
      <c r="B56" s="7"/>
      <c r="C56" s="7"/>
      <c r="D56" s="7"/>
      <c r="E56" s="7"/>
      <c r="F56" s="7"/>
      <c r="G56" s="7"/>
      <c r="H56" s="7"/>
    </row>
    <row r="57" spans="2:10" ht="26.1" customHeight="1">
      <c r="B57" s="7"/>
      <c r="C57" s="7"/>
      <c r="D57" s="7"/>
      <c r="E57" s="7"/>
      <c r="F57" s="7"/>
      <c r="G57" s="7"/>
      <c r="H57" s="7"/>
    </row>
    <row r="62" spans="2:10">
      <c r="B62" s="6"/>
      <c r="C62" s="6"/>
      <c r="D62" s="6"/>
      <c r="E62" s="6"/>
      <c r="F62" s="6"/>
      <c r="G62" s="6"/>
      <c r="I62" s="6"/>
      <c r="J62" s="3"/>
    </row>
    <row r="63" spans="2:10">
      <c r="B63" s="3"/>
      <c r="C63" s="2"/>
      <c r="D63" s="3"/>
      <c r="E63" s="2"/>
      <c r="F63" s="2"/>
      <c r="G63" s="2"/>
      <c r="H63" s="1"/>
      <c r="I63" s="6"/>
      <c r="J63" s="3"/>
    </row>
    <row r="64" spans="2:10">
      <c r="B64" s="3"/>
      <c r="C64" s="2"/>
      <c r="D64" s="3"/>
      <c r="E64" s="2"/>
      <c r="F64" s="2"/>
      <c r="G64" s="2"/>
      <c r="H64" s="1"/>
    </row>
    <row r="65" spans="2:10">
      <c r="B65" s="3"/>
      <c r="C65" s="2"/>
      <c r="D65" s="3"/>
      <c r="E65" s="2"/>
      <c r="F65" s="2"/>
      <c r="G65" s="2"/>
      <c r="H65" s="1"/>
      <c r="I65" s="5"/>
      <c r="J65" s="4"/>
    </row>
    <row r="66" spans="2:10">
      <c r="B66" s="3"/>
      <c r="C66" s="2"/>
      <c r="D66" s="3"/>
      <c r="E66" s="2"/>
      <c r="F66" s="2"/>
      <c r="G66" s="2"/>
      <c r="H66" s="1"/>
      <c r="I66" s="5"/>
      <c r="J66" s="4"/>
    </row>
    <row r="67" spans="2:10">
      <c r="B67" s="3"/>
      <c r="C67" s="2"/>
      <c r="D67" s="3"/>
      <c r="E67" s="2"/>
      <c r="F67" s="2"/>
      <c r="G67" s="2"/>
      <c r="H67" s="1"/>
    </row>
    <row r="68" spans="2:10">
      <c r="B68" s="3"/>
      <c r="C68" s="2"/>
      <c r="D68" s="3"/>
      <c r="E68" s="2"/>
      <c r="F68" s="2"/>
      <c r="G68" s="2"/>
      <c r="H68" s="1"/>
    </row>
    <row r="69" spans="2:10">
      <c r="B69" s="3"/>
      <c r="C69" s="2"/>
      <c r="D69" s="3"/>
      <c r="E69" s="2"/>
      <c r="F69" s="2"/>
      <c r="G69" s="2"/>
      <c r="H69"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3F9CB-7A1C-45DD-BE7E-56953E5480EC}">
  <dimension ref="B4:K67"/>
  <sheetViews>
    <sheetView workbookViewId="0">
      <selection activeCell="H4" sqref="H4"/>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 min="10" max="10" width="28.5703125" customWidth="1"/>
    <col min="11" max="11" width="18.140625" customWidth="1"/>
  </cols>
  <sheetData>
    <row r="4" spans="2:11" ht="15.75">
      <c r="B4" s="10"/>
    </row>
    <row r="5" spans="2:11" ht="15.75" thickBot="1"/>
    <row r="6" spans="2:11" ht="18.75" thickBot="1">
      <c r="B6" s="30" t="s">
        <v>119</v>
      </c>
      <c r="C6" s="29" t="s">
        <v>36</v>
      </c>
      <c r="D6" s="26" t="s">
        <v>120</v>
      </c>
      <c r="E6" s="30" t="s">
        <v>121</v>
      </c>
      <c r="F6" s="30" t="s">
        <v>122</v>
      </c>
      <c r="G6" s="29" t="s">
        <v>123</v>
      </c>
      <c r="H6" s="28" t="s">
        <v>124</v>
      </c>
    </row>
    <row r="7" spans="2:11" ht="29.45" customHeight="1">
      <c r="B7" s="124" t="s">
        <v>167</v>
      </c>
      <c r="C7" s="122" t="s">
        <v>126</v>
      </c>
      <c r="D7" s="126" t="s">
        <v>126</v>
      </c>
      <c r="E7" s="128" t="s">
        <v>126</v>
      </c>
      <c r="F7" s="128" t="s">
        <v>162</v>
      </c>
      <c r="G7" s="121" t="s">
        <v>126</v>
      </c>
      <c r="H7" s="121" t="s">
        <v>140</v>
      </c>
    </row>
    <row r="8" spans="2:11" ht="37.5" customHeight="1">
      <c r="B8" s="124"/>
      <c r="C8" s="122"/>
      <c r="D8" s="126"/>
      <c r="E8" s="124"/>
      <c r="F8" s="124"/>
      <c r="G8" s="122"/>
      <c r="H8" s="122"/>
    </row>
    <row r="9" spans="2:11" ht="15.75" thickBot="1">
      <c r="B9" s="125"/>
      <c r="C9" s="123"/>
      <c r="D9" s="127"/>
      <c r="E9" s="125"/>
      <c r="F9" s="125"/>
      <c r="G9" s="123"/>
      <c r="H9" s="123"/>
    </row>
    <row r="10" spans="2:11">
      <c r="E10" s="3"/>
      <c r="F10" s="3"/>
      <c r="G10" s="3"/>
      <c r="H10" s="3"/>
      <c r="I10" s="3"/>
    </row>
    <row r="13" spans="2:11" ht="15.75" thickBot="1"/>
    <row r="14" spans="2:11" ht="15.75" thickBot="1">
      <c r="B14" s="45" t="s">
        <v>129</v>
      </c>
      <c r="C14" s="46" t="s">
        <v>130</v>
      </c>
      <c r="D14" s="46" t="s">
        <v>131</v>
      </c>
      <c r="E14" s="46" t="s">
        <v>2</v>
      </c>
      <c r="F14" s="46" t="s">
        <v>133</v>
      </c>
      <c r="G14" s="47" t="s">
        <v>134</v>
      </c>
      <c r="H14" s="5" t="s">
        <v>168</v>
      </c>
      <c r="J14" s="24" t="s">
        <v>135</v>
      </c>
      <c r="K14" s="23">
        <f>(5.03+4.96)/2</f>
        <v>4.9950000000000001</v>
      </c>
    </row>
    <row r="15" spans="2:11" ht="15.75" thickBot="1">
      <c r="B15" s="36">
        <v>0</v>
      </c>
      <c r="C15" s="34">
        <v>4.8</v>
      </c>
      <c r="D15" s="35">
        <v>25</v>
      </c>
      <c r="E15" s="34">
        <v>10334.4</v>
      </c>
      <c r="F15" s="34">
        <f>E15/209.57</f>
        <v>49.312401584196209</v>
      </c>
      <c r="G15" s="33">
        <f t="shared" ref="G15:G25" si="0">($F$15-F15)/$F$15*100</f>
        <v>0</v>
      </c>
      <c r="H15" s="71">
        <f>-LN(F15/$F$15)</f>
        <v>0</v>
      </c>
      <c r="J15" s="22" t="s">
        <v>136</v>
      </c>
      <c r="K15" s="21">
        <f>(3.59+3.58)/2</f>
        <v>3.585</v>
      </c>
    </row>
    <row r="16" spans="2:11" ht="15.75" thickBot="1">
      <c r="B16" s="16">
        <v>5</v>
      </c>
      <c r="C16" s="2">
        <v>4.8</v>
      </c>
      <c r="D16" s="3">
        <v>25</v>
      </c>
      <c r="E16" s="2">
        <v>9870.7000000000007</v>
      </c>
      <c r="F16" s="2">
        <f>E16/209.57</f>
        <v>47.09977573125925</v>
      </c>
      <c r="G16" s="32">
        <f t="shared" si="0"/>
        <v>4.4869561851679691</v>
      </c>
      <c r="H16" s="71">
        <f t="shared" ref="H16:H25" si="1">-LN(F16/$F$15)</f>
        <v>4.5907363379710374E-2</v>
      </c>
    </row>
    <row r="17" spans="2:11">
      <c r="B17" s="16">
        <v>15</v>
      </c>
      <c r="C17" s="2">
        <v>4.8</v>
      </c>
      <c r="D17" s="3">
        <v>25</v>
      </c>
      <c r="E17" s="2">
        <v>9124.5</v>
      </c>
      <c r="F17" s="2">
        <f t="shared" ref="F17:F25" si="2">E17/209.57</f>
        <v>43.5391515961254</v>
      </c>
      <c r="G17" s="32">
        <f t="shared" si="0"/>
        <v>11.707501161170455</v>
      </c>
      <c r="H17" s="71">
        <f t="shared" si="1"/>
        <v>0.12451503284933847</v>
      </c>
      <c r="J17" s="20" t="s">
        <v>137</v>
      </c>
      <c r="K17" s="19">
        <f>(2.561+2.56)/2</f>
        <v>2.5605000000000002</v>
      </c>
    </row>
    <row r="18" spans="2:11" ht="15.75" thickBot="1">
      <c r="B18" s="16">
        <v>30</v>
      </c>
      <c r="C18" s="2">
        <v>4.8</v>
      </c>
      <c r="D18" s="3">
        <v>25</v>
      </c>
      <c r="E18" s="2">
        <v>8151.5</v>
      </c>
      <c r="F18" s="2">
        <f t="shared" si="2"/>
        <v>38.896311494965886</v>
      </c>
      <c r="G18" s="32">
        <f t="shared" si="0"/>
        <v>21.122658306239344</v>
      </c>
      <c r="H18" s="71">
        <f t="shared" si="1"/>
        <v>0.23727617689849922</v>
      </c>
      <c r="J18" s="18" t="s">
        <v>138</v>
      </c>
      <c r="K18" s="44">
        <f>(2.631+2.607)/2</f>
        <v>2.6189999999999998</v>
      </c>
    </row>
    <row r="19" spans="2:11">
      <c r="B19" s="16">
        <v>60</v>
      </c>
      <c r="C19" s="2">
        <v>4.8</v>
      </c>
      <c r="D19" s="3">
        <v>25</v>
      </c>
      <c r="E19" s="2">
        <v>6622</v>
      </c>
      <c r="F19" s="2">
        <f t="shared" si="2"/>
        <v>31.598034069761894</v>
      </c>
      <c r="G19" s="32">
        <f t="shared" si="0"/>
        <v>35.922743458739738</v>
      </c>
      <c r="H19" s="71">
        <f t="shared" si="1"/>
        <v>0.44508069717101661</v>
      </c>
    </row>
    <row r="20" spans="2:11">
      <c r="B20" s="16">
        <v>90</v>
      </c>
      <c r="C20" s="2">
        <v>4.8</v>
      </c>
      <c r="D20" s="3">
        <v>25</v>
      </c>
      <c r="E20" s="2">
        <v>4571</v>
      </c>
      <c r="F20" s="2">
        <f t="shared" si="2"/>
        <v>21.811327957245791</v>
      </c>
      <c r="G20" s="32">
        <f t="shared" si="0"/>
        <v>55.769081901223096</v>
      </c>
      <c r="H20" s="71">
        <f t="shared" si="1"/>
        <v>0.81574613694646381</v>
      </c>
    </row>
    <row r="21" spans="2:11">
      <c r="B21" s="16">
        <v>120</v>
      </c>
      <c r="C21" s="2">
        <v>4.8</v>
      </c>
      <c r="D21" s="3">
        <v>25</v>
      </c>
      <c r="E21" s="2">
        <v>4024.2</v>
      </c>
      <c r="F21" s="2">
        <f t="shared" si="2"/>
        <v>19.202175883952854</v>
      </c>
      <c r="G21" s="32">
        <f t="shared" si="0"/>
        <v>61.060148629818855</v>
      </c>
      <c r="H21" s="71">
        <f t="shared" si="1"/>
        <v>0.94315200294446178</v>
      </c>
    </row>
    <row r="22" spans="2:11">
      <c r="B22" s="16">
        <v>150</v>
      </c>
      <c r="C22" s="2">
        <v>4.8</v>
      </c>
      <c r="D22" s="3">
        <v>25</v>
      </c>
      <c r="E22" s="2">
        <v>2954.8</v>
      </c>
      <c r="F22" s="2">
        <f t="shared" si="2"/>
        <v>14.099346280479077</v>
      </c>
      <c r="G22" s="32">
        <f t="shared" si="0"/>
        <v>71.408112710945971</v>
      </c>
      <c r="H22" s="71">
        <f t="shared" si="1"/>
        <v>1.2520471696236255</v>
      </c>
    </row>
    <row r="23" spans="2:11">
      <c r="B23" s="16">
        <v>180</v>
      </c>
      <c r="C23" s="2">
        <v>4.8</v>
      </c>
      <c r="D23" s="3">
        <v>25</v>
      </c>
      <c r="E23" s="2">
        <v>2161.5</v>
      </c>
      <c r="F23" s="2">
        <f t="shared" si="2"/>
        <v>10.313976237056831</v>
      </c>
      <c r="G23" s="32">
        <f t="shared" si="0"/>
        <v>79.084417092429163</v>
      </c>
      <c r="H23" s="71">
        <f t="shared" si="1"/>
        <v>1.5646757111705216</v>
      </c>
    </row>
    <row r="24" spans="2:11">
      <c r="B24" s="16">
        <v>246</v>
      </c>
      <c r="C24" s="2">
        <v>4.8</v>
      </c>
      <c r="D24" s="3">
        <v>25</v>
      </c>
      <c r="E24" s="2">
        <v>1304.0999999999999</v>
      </c>
      <c r="F24" s="2">
        <f t="shared" si="2"/>
        <v>6.2227418046476117</v>
      </c>
      <c r="G24" s="32">
        <f t="shared" si="0"/>
        <v>87.380980027868091</v>
      </c>
      <c r="H24" s="71">
        <f t="shared" si="1"/>
        <v>2.0699649886153524</v>
      </c>
    </row>
    <row r="25" spans="2:11" ht="15.75" thickBot="1">
      <c r="B25" s="14">
        <v>300</v>
      </c>
      <c r="C25" s="12">
        <v>4.8</v>
      </c>
      <c r="D25" s="13">
        <v>25</v>
      </c>
      <c r="E25" s="12">
        <v>742</v>
      </c>
      <c r="F25" s="12">
        <f t="shared" si="2"/>
        <v>3.5405830987259628</v>
      </c>
      <c r="G25" s="31">
        <f t="shared" si="0"/>
        <v>92.820095990091346</v>
      </c>
      <c r="H25" s="71">
        <f t="shared" si="1"/>
        <v>2.6338841721108279</v>
      </c>
    </row>
    <row r="27" spans="2:11" ht="15.75">
      <c r="B27" s="10"/>
    </row>
    <row r="29" spans="2:11">
      <c r="B29" s="8"/>
      <c r="C29" s="8"/>
      <c r="D29" s="9"/>
      <c r="E29" s="8"/>
      <c r="F29" s="8"/>
      <c r="G29" s="8"/>
      <c r="H29" s="8"/>
    </row>
    <row r="30" spans="2:11" ht="14.45" customHeight="1">
      <c r="B30" s="7"/>
      <c r="C30" s="7"/>
      <c r="D30" s="7"/>
      <c r="E30" s="7"/>
      <c r="F30" s="7"/>
      <c r="G30" s="7"/>
      <c r="H30" s="7"/>
    </row>
    <row r="31" spans="2:11">
      <c r="B31" s="7"/>
      <c r="C31" s="7"/>
      <c r="D31" s="7"/>
      <c r="E31" s="7"/>
      <c r="F31" s="7"/>
      <c r="G31" s="7"/>
      <c r="H31" s="7"/>
    </row>
    <row r="32" spans="2:11" ht="34.5" customHeight="1">
      <c r="B32" s="7"/>
      <c r="C32" s="7"/>
      <c r="D32" s="7"/>
      <c r="E32" s="7"/>
      <c r="F32" s="7"/>
      <c r="G32" s="7"/>
      <c r="H32" s="7"/>
    </row>
    <row r="37" spans="2:10">
      <c r="B37" s="6"/>
      <c r="C37" s="6"/>
      <c r="D37" s="6"/>
      <c r="E37" s="6"/>
      <c r="F37" s="6"/>
      <c r="G37" s="6"/>
      <c r="I37" s="6"/>
      <c r="J37" s="3"/>
    </row>
    <row r="38" spans="2:10">
      <c r="B38" s="3"/>
      <c r="C38" s="2"/>
      <c r="D38" s="3"/>
      <c r="E38" s="2"/>
      <c r="F38" s="2"/>
      <c r="G38" s="2"/>
      <c r="I38" s="6"/>
      <c r="J38" s="3"/>
    </row>
    <row r="39" spans="2:10">
      <c r="B39" s="3"/>
      <c r="C39" s="2"/>
      <c r="D39" s="3"/>
      <c r="E39" s="2"/>
      <c r="F39" s="2"/>
      <c r="G39" s="2"/>
    </row>
    <row r="40" spans="2:10">
      <c r="B40" s="3"/>
      <c r="C40" s="2"/>
      <c r="D40" s="3"/>
      <c r="E40" s="2"/>
      <c r="F40" s="2"/>
      <c r="G40" s="2"/>
      <c r="I40" s="5"/>
      <c r="J40" s="4"/>
    </row>
    <row r="41" spans="2:10">
      <c r="B41" s="3"/>
      <c r="C41" s="2"/>
      <c r="D41" s="3"/>
      <c r="E41" s="2"/>
      <c r="F41" s="2"/>
      <c r="G41" s="2"/>
      <c r="I41" s="5"/>
      <c r="J41" s="4"/>
    </row>
    <row r="42" spans="2:10">
      <c r="B42" s="3"/>
      <c r="C42" s="2"/>
      <c r="D42" s="3"/>
      <c r="E42" s="2"/>
      <c r="F42" s="2"/>
      <c r="G42" s="2"/>
    </row>
    <row r="43" spans="2:10">
      <c r="B43" s="3"/>
      <c r="C43" s="2"/>
      <c r="D43" s="3"/>
      <c r="E43" s="2"/>
      <c r="F43" s="2"/>
      <c r="G43" s="2"/>
    </row>
    <row r="44" spans="2:10">
      <c r="B44" s="3"/>
      <c r="C44" s="2"/>
      <c r="D44" s="3"/>
      <c r="E44" s="2"/>
      <c r="F44" s="2"/>
      <c r="G44" s="2"/>
    </row>
    <row r="50" spans="2:10" ht="15.75">
      <c r="B50" s="10"/>
    </row>
    <row r="52" spans="2:10">
      <c r="B52" s="8"/>
      <c r="C52" s="8"/>
      <c r="D52" s="9"/>
      <c r="E52" s="8"/>
      <c r="F52" s="8"/>
      <c r="G52" s="8"/>
      <c r="H52" s="8"/>
    </row>
    <row r="53" spans="2:10" ht="14.45" customHeight="1">
      <c r="B53" s="7"/>
      <c r="C53" s="7"/>
      <c r="D53" s="7"/>
      <c r="E53" s="7"/>
      <c r="F53" s="7"/>
      <c r="G53" s="7"/>
      <c r="H53" s="7"/>
    </row>
    <row r="54" spans="2:10">
      <c r="B54" s="7"/>
      <c r="C54" s="7"/>
      <c r="D54" s="7"/>
      <c r="E54" s="7"/>
      <c r="F54" s="7"/>
      <c r="G54" s="7"/>
      <c r="H54" s="7"/>
    </row>
    <row r="55" spans="2:10" ht="26.1" customHeight="1">
      <c r="B55" s="7"/>
      <c r="C55" s="7"/>
      <c r="D55" s="7"/>
      <c r="E55" s="7"/>
      <c r="F55" s="7"/>
      <c r="G55" s="7"/>
      <c r="H55" s="7"/>
    </row>
    <row r="60" spans="2:10">
      <c r="B60" s="6"/>
      <c r="C60" s="6"/>
      <c r="D60" s="6"/>
      <c r="E60" s="6"/>
      <c r="F60" s="6"/>
      <c r="G60" s="6"/>
      <c r="I60" s="6"/>
      <c r="J60" s="3"/>
    </row>
    <row r="61" spans="2:10">
      <c r="B61" s="3"/>
      <c r="C61" s="2"/>
      <c r="D61" s="3"/>
      <c r="E61" s="2"/>
      <c r="F61" s="2"/>
      <c r="G61" s="2"/>
      <c r="H61" s="1"/>
      <c r="I61" s="6"/>
      <c r="J61" s="3"/>
    </row>
    <row r="62" spans="2:10">
      <c r="B62" s="3"/>
      <c r="C62" s="2"/>
      <c r="D62" s="3"/>
      <c r="E62" s="2"/>
      <c r="F62" s="2"/>
      <c r="G62" s="2"/>
      <c r="H62" s="1"/>
    </row>
    <row r="63" spans="2:10">
      <c r="B63" s="3"/>
      <c r="C63" s="2"/>
      <c r="D63" s="3"/>
      <c r="E63" s="2"/>
      <c r="F63" s="2"/>
      <c r="G63" s="2"/>
      <c r="H63" s="1"/>
      <c r="I63" s="5"/>
      <c r="J63" s="4"/>
    </row>
    <row r="64" spans="2:10">
      <c r="B64" s="3"/>
      <c r="C64" s="2"/>
      <c r="D64" s="3"/>
      <c r="E64" s="2"/>
      <c r="F64" s="2"/>
      <c r="G64" s="2"/>
      <c r="H64" s="1"/>
      <c r="I64" s="5"/>
      <c r="J64" s="4"/>
    </row>
    <row r="65" spans="2:8">
      <c r="B65" s="3"/>
      <c r="C65" s="2"/>
      <c r="D65" s="3"/>
      <c r="E65" s="2"/>
      <c r="F65" s="2"/>
      <c r="G65" s="2"/>
      <c r="H65" s="1"/>
    </row>
    <row r="66" spans="2:8">
      <c r="B66" s="3"/>
      <c r="C66" s="2"/>
      <c r="D66" s="3"/>
      <c r="E66" s="2"/>
      <c r="F66" s="2"/>
      <c r="G66" s="2"/>
      <c r="H66" s="1"/>
    </row>
    <row r="67" spans="2:8">
      <c r="B67" s="3"/>
      <c r="C67" s="2"/>
      <c r="D67" s="3"/>
      <c r="E67" s="2"/>
      <c r="F67" s="2"/>
      <c r="G67" s="2"/>
      <c r="H67"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0BC13-826F-4EB7-849D-5B5C18494D6C}">
  <dimension ref="B4:N67"/>
  <sheetViews>
    <sheetView topLeftCell="D3" zoomScale="61" workbookViewId="0">
      <selection activeCell="L28" sqref="L28"/>
    </sheetView>
  </sheetViews>
  <sheetFormatPr defaultColWidth="11.42578125" defaultRowHeight="15"/>
  <cols>
    <col min="2" max="2" width="27.85546875" customWidth="1"/>
    <col min="3" max="3" width="20.5703125" customWidth="1"/>
    <col min="4" max="4" width="19.140625" customWidth="1"/>
    <col min="5" max="5" width="22.42578125" customWidth="1"/>
    <col min="6" max="6" width="25.140625" customWidth="1"/>
    <col min="7" max="7" width="18.42578125" customWidth="1"/>
    <col min="8" max="9" width="24.5703125" customWidth="1"/>
    <col min="10" max="10" width="12.85546875" customWidth="1"/>
    <col min="11" max="11" width="27.28515625" customWidth="1"/>
    <col min="12" max="12" width="19.42578125" customWidth="1"/>
    <col min="13" max="13" width="23.85546875" customWidth="1"/>
  </cols>
  <sheetData>
    <row r="4" spans="2:14" ht="15.75">
      <c r="B4" s="10"/>
    </row>
    <row r="5" spans="2:14" ht="15.75" thickBot="1"/>
    <row r="6" spans="2:14" ht="18.75" thickBot="1">
      <c r="B6" s="30" t="s">
        <v>119</v>
      </c>
      <c r="C6" s="29" t="s">
        <v>36</v>
      </c>
      <c r="D6" s="26" t="s">
        <v>120</v>
      </c>
      <c r="E6" s="30" t="s">
        <v>121</v>
      </c>
      <c r="F6" s="30" t="s">
        <v>122</v>
      </c>
      <c r="G6" s="29" t="s">
        <v>123</v>
      </c>
      <c r="H6" s="28" t="s">
        <v>124</v>
      </c>
      <c r="I6" s="5"/>
    </row>
    <row r="7" spans="2:14" ht="29.45" customHeight="1">
      <c r="B7" s="124" t="s">
        <v>179</v>
      </c>
      <c r="C7" s="122" t="s">
        <v>126</v>
      </c>
      <c r="D7" s="126" t="s">
        <v>126</v>
      </c>
      <c r="E7" s="128" t="s">
        <v>126</v>
      </c>
      <c r="F7" s="128" t="s">
        <v>162</v>
      </c>
      <c r="G7" s="121" t="s">
        <v>126</v>
      </c>
      <c r="H7" s="121" t="s">
        <v>140</v>
      </c>
      <c r="I7" s="50"/>
    </row>
    <row r="8" spans="2:14" ht="37.5" customHeight="1">
      <c r="B8" s="124"/>
      <c r="C8" s="122"/>
      <c r="D8" s="126"/>
      <c r="E8" s="124"/>
      <c r="F8" s="124"/>
      <c r="G8" s="122"/>
      <c r="H8" s="122"/>
      <c r="I8" s="50"/>
    </row>
    <row r="9" spans="2:14" ht="15.75" thickBot="1">
      <c r="B9" s="125"/>
      <c r="C9" s="123"/>
      <c r="D9" s="127"/>
      <c r="E9" s="125"/>
      <c r="F9" s="125"/>
      <c r="G9" s="123"/>
      <c r="H9" s="123"/>
      <c r="I9" s="50"/>
    </row>
    <row r="10" spans="2:14">
      <c r="E10" s="3"/>
      <c r="F10" s="3"/>
      <c r="G10" s="3"/>
      <c r="H10" s="3"/>
      <c r="I10" s="3"/>
      <c r="J10" s="3"/>
    </row>
    <row r="13" spans="2:14" ht="15.75" thickBot="1"/>
    <row r="14" spans="2:14" ht="15.75" thickBot="1">
      <c r="B14" s="27" t="s">
        <v>129</v>
      </c>
      <c r="C14" s="26" t="s">
        <v>130</v>
      </c>
      <c r="D14" s="26" t="s">
        <v>131</v>
      </c>
      <c r="E14" s="55" t="s">
        <v>180</v>
      </c>
      <c r="F14" s="55" t="s">
        <v>181</v>
      </c>
      <c r="G14" s="55" t="s">
        <v>182</v>
      </c>
      <c r="H14" s="58" t="s">
        <v>183</v>
      </c>
      <c r="I14" s="58" t="s">
        <v>171</v>
      </c>
      <c r="J14" s="51" t="s">
        <v>184</v>
      </c>
      <c r="K14" s="51" t="s">
        <v>185</v>
      </c>
      <c r="L14" s="51" t="s">
        <v>186</v>
      </c>
      <c r="M14" s="51" t="s">
        <v>187</v>
      </c>
      <c r="N14" s="52" t="s">
        <v>188</v>
      </c>
    </row>
    <row r="15" spans="2:14">
      <c r="B15" s="16">
        <v>0</v>
      </c>
      <c r="C15" s="2">
        <v>5</v>
      </c>
      <c r="D15" s="3">
        <v>25</v>
      </c>
      <c r="E15" s="56">
        <v>10398.1</v>
      </c>
      <c r="F15" s="56">
        <f>E15/209.57</f>
        <v>49.616357303049107</v>
      </c>
      <c r="G15" s="56">
        <f>($F$15-F15)/$F$15*100</f>
        <v>0</v>
      </c>
      <c r="H15" s="59">
        <f>($E$15-E15)/$E$15*100</f>
        <v>0</v>
      </c>
      <c r="I15" s="59">
        <f>-LN(F15/$F$15)</f>
        <v>0</v>
      </c>
      <c r="J15" s="53">
        <v>8301.7000000000007</v>
      </c>
      <c r="K15" s="53">
        <f>(J15+354.25)/178.72</f>
        <v>48.433023724261417</v>
      </c>
      <c r="L15" s="53">
        <f>($K$15-K15)/$K$15*100</f>
        <v>0</v>
      </c>
      <c r="M15" s="53">
        <f>($J$15-J15)/$J$15*100</f>
        <v>0</v>
      </c>
      <c r="N15" s="61">
        <f>-LN(K15/$K$15)</f>
        <v>0</v>
      </c>
    </row>
    <row r="16" spans="2:14">
      <c r="B16" s="16">
        <v>5</v>
      </c>
      <c r="C16" s="2">
        <v>4.9000000000000004</v>
      </c>
      <c r="D16" s="3">
        <v>25</v>
      </c>
      <c r="E16" s="56">
        <v>9854.7999999999993</v>
      </c>
      <c r="F16" s="56">
        <f>E16/209.57</f>
        <v>47.023906093429403</v>
      </c>
      <c r="G16" s="56">
        <f>($F$15-F16)/$F$15*100</f>
        <v>5.2249930275723564</v>
      </c>
      <c r="H16" s="59">
        <f t="shared" ref="H16:H25" si="0">($E$15-E16)/$E$15*100</f>
        <v>5.2249930275723555</v>
      </c>
      <c r="I16" s="59">
        <f t="shared" ref="I16:I25" si="1">-LN(F16/$F$15)</f>
        <v>5.3664451017479825E-2</v>
      </c>
      <c r="J16" s="53">
        <v>7944.7</v>
      </c>
      <c r="K16" s="53">
        <f t="shared" ref="K16:K25" si="2">(J16+354.25)/178.72</f>
        <v>46.43548567591764</v>
      </c>
      <c r="L16" s="53">
        <f t="shared" ref="L16:L25" si="3">($K$15-K16)/$K$15*100</f>
        <v>4.1243306627233283</v>
      </c>
      <c r="M16" s="53">
        <f t="shared" ref="M16:M25" si="4">($J$15-J16)/$J$15*100</f>
        <v>4.3003240300179586</v>
      </c>
      <c r="N16" s="61">
        <f t="shared" ref="N16:N25" si="5">-LN(K16/$K$15)</f>
        <v>4.211794497143783E-2</v>
      </c>
    </row>
    <row r="17" spans="2:14">
      <c r="B17" s="16">
        <v>15</v>
      </c>
      <c r="C17" s="2">
        <v>4.9000000000000004</v>
      </c>
      <c r="D17" s="3">
        <v>25</v>
      </c>
      <c r="E17" s="56">
        <v>9374</v>
      </c>
      <c r="F17" s="56">
        <f t="shared" ref="F17:F25" si="6">E17/209.57</f>
        <v>44.729684592260341</v>
      </c>
      <c r="G17" s="56">
        <f t="shared" ref="G17:G25" si="7">($F$15-F17)/$F$15*100</f>
        <v>9.8489147055712234</v>
      </c>
      <c r="H17" s="59">
        <f t="shared" si="0"/>
        <v>9.8489147055712127</v>
      </c>
      <c r="I17" s="59">
        <f t="shared" si="1"/>
        <v>0.10368319764884795</v>
      </c>
      <c r="J17" s="53">
        <v>7538.9</v>
      </c>
      <c r="K17" s="53">
        <f t="shared" si="2"/>
        <v>44.164894807520142</v>
      </c>
      <c r="L17" s="53">
        <f t="shared" si="3"/>
        <v>8.8124353768217318</v>
      </c>
      <c r="M17" s="53">
        <f t="shared" si="4"/>
        <v>9.1884794680607715</v>
      </c>
      <c r="N17" s="61">
        <f t="shared" si="5"/>
        <v>9.2251651020723816E-2</v>
      </c>
    </row>
    <row r="18" spans="2:14">
      <c r="B18" s="16">
        <v>30</v>
      </c>
      <c r="C18" s="2">
        <v>5</v>
      </c>
      <c r="D18" s="3">
        <v>25</v>
      </c>
      <c r="E18" s="56">
        <v>8316.5</v>
      </c>
      <c r="F18" s="56">
        <f t="shared" si="6"/>
        <v>39.683637925275562</v>
      </c>
      <c r="G18" s="56">
        <f t="shared" si="7"/>
        <v>20.019041940354501</v>
      </c>
      <c r="H18" s="59">
        <f t="shared" si="0"/>
        <v>20.019041940354491</v>
      </c>
      <c r="I18" s="59">
        <f t="shared" si="1"/>
        <v>0.22338160390090978</v>
      </c>
      <c r="J18" s="53">
        <v>6652.1</v>
      </c>
      <c r="K18" s="53">
        <f t="shared" si="2"/>
        <v>39.202943151298122</v>
      </c>
      <c r="L18" s="53">
        <f t="shared" si="3"/>
        <v>19.057411375989926</v>
      </c>
      <c r="M18" s="53">
        <f t="shared" si="4"/>
        <v>19.870628907332236</v>
      </c>
      <c r="N18" s="61">
        <f t="shared" si="5"/>
        <v>0.21143006504029463</v>
      </c>
    </row>
    <row r="19" spans="2:14">
      <c r="B19" s="16">
        <v>60</v>
      </c>
      <c r="C19" s="2">
        <v>5</v>
      </c>
      <c r="D19" s="3">
        <v>25</v>
      </c>
      <c r="E19" s="56">
        <v>7616.7</v>
      </c>
      <c r="F19" s="56">
        <f t="shared" si="6"/>
        <v>36.344419525695471</v>
      </c>
      <c r="G19" s="56">
        <f t="shared" si="7"/>
        <v>26.749117627258833</v>
      </c>
      <c r="H19" s="59">
        <f t="shared" si="0"/>
        <v>26.74911762725883</v>
      </c>
      <c r="I19" s="59">
        <f t="shared" si="1"/>
        <v>0.31127989211921969</v>
      </c>
      <c r="J19" s="53">
        <v>6068.7</v>
      </c>
      <c r="K19" s="53">
        <f t="shared" si="2"/>
        <v>35.938619068934642</v>
      </c>
      <c r="L19" s="53">
        <f t="shared" si="3"/>
        <v>25.79728394919103</v>
      </c>
      <c r="M19" s="53">
        <f t="shared" si="4"/>
        <v>26.898105207367173</v>
      </c>
      <c r="N19" s="61">
        <f t="shared" si="5"/>
        <v>0.29836943202634153</v>
      </c>
    </row>
    <row r="20" spans="2:14">
      <c r="B20" s="16">
        <v>90</v>
      </c>
      <c r="C20" s="2">
        <v>5</v>
      </c>
      <c r="D20" s="3">
        <v>25</v>
      </c>
      <c r="E20" s="56">
        <v>6619.4</v>
      </c>
      <c r="F20" s="56">
        <f t="shared" si="6"/>
        <v>31.585627713890347</v>
      </c>
      <c r="G20" s="56">
        <f t="shared" si="7"/>
        <v>36.340292938132933</v>
      </c>
      <c r="H20" s="59">
        <f t="shared" si="0"/>
        <v>36.340292938132933</v>
      </c>
      <c r="I20" s="59">
        <f t="shared" si="1"/>
        <v>0.45161836574908221</v>
      </c>
      <c r="J20" s="53">
        <v>5633.6</v>
      </c>
      <c r="K20" s="53">
        <f t="shared" si="2"/>
        <v>33.50408460161146</v>
      </c>
      <c r="L20" s="53">
        <f t="shared" si="3"/>
        <v>30.823884149053544</v>
      </c>
      <c r="M20" s="53">
        <f t="shared" si="4"/>
        <v>32.139200404736378</v>
      </c>
      <c r="N20" s="61">
        <f t="shared" si="5"/>
        <v>0.36851452960390929</v>
      </c>
    </row>
    <row r="21" spans="2:14">
      <c r="B21" s="16">
        <v>120</v>
      </c>
      <c r="C21" s="2">
        <v>5.0999999999999996</v>
      </c>
      <c r="D21" s="3">
        <v>25</v>
      </c>
      <c r="E21" s="56">
        <v>5052.7</v>
      </c>
      <c r="F21" s="56">
        <f t="shared" si="6"/>
        <v>24.109843966216538</v>
      </c>
      <c r="G21" s="56">
        <f t="shared" si="7"/>
        <v>51.407468672161272</v>
      </c>
      <c r="H21" s="59">
        <f t="shared" si="0"/>
        <v>51.407468672161258</v>
      </c>
      <c r="I21" s="59">
        <f t="shared" si="1"/>
        <v>0.72170034327298738</v>
      </c>
      <c r="J21" s="53">
        <v>4332.2</v>
      </c>
      <c r="K21" s="53">
        <f t="shared" si="2"/>
        <v>26.222303043867502</v>
      </c>
      <c r="L21" s="53">
        <f t="shared" si="3"/>
        <v>45.858629035518931</v>
      </c>
      <c r="M21" s="53">
        <f t="shared" si="4"/>
        <v>47.815507667104335</v>
      </c>
      <c r="N21" s="61">
        <f t="shared" si="5"/>
        <v>0.61357157954254971</v>
      </c>
    </row>
    <row r="22" spans="2:14">
      <c r="B22" s="16">
        <v>150</v>
      </c>
      <c r="C22" s="2">
        <v>5.0999999999999996</v>
      </c>
      <c r="D22" s="3">
        <v>25</v>
      </c>
      <c r="E22" s="56">
        <v>4375.8</v>
      </c>
      <c r="F22" s="56">
        <f t="shared" si="6"/>
        <v>20.879896931812763</v>
      </c>
      <c r="G22" s="56">
        <f t="shared" si="7"/>
        <v>57.917311816581872</v>
      </c>
      <c r="H22" s="59">
        <f t="shared" si="0"/>
        <v>57.917311816581872</v>
      </c>
      <c r="I22" s="59">
        <f t="shared" si="1"/>
        <v>0.86553373691325686</v>
      </c>
      <c r="J22" s="53">
        <v>3901.9</v>
      </c>
      <c r="K22" s="53">
        <f t="shared" si="2"/>
        <v>23.814626230975826</v>
      </c>
      <c r="L22" s="53">
        <f t="shared" si="3"/>
        <v>50.829776050000298</v>
      </c>
      <c r="M22" s="53">
        <f t="shared" si="4"/>
        <v>52.998783381717004</v>
      </c>
      <c r="N22" s="61">
        <f t="shared" si="5"/>
        <v>0.70988194996815424</v>
      </c>
    </row>
    <row r="23" spans="2:14">
      <c r="B23" s="16">
        <v>183</v>
      </c>
      <c r="C23" s="2">
        <v>5.0999999999999996</v>
      </c>
      <c r="D23" s="3">
        <v>25</v>
      </c>
      <c r="E23" s="56">
        <v>3581.4</v>
      </c>
      <c r="F23" s="56">
        <f t="shared" si="6"/>
        <v>17.089278045521784</v>
      </c>
      <c r="G23" s="56">
        <f t="shared" si="7"/>
        <v>65.557169098200632</v>
      </c>
      <c r="H23" s="59">
        <f t="shared" si="0"/>
        <v>65.557169098200646</v>
      </c>
      <c r="I23" s="59">
        <f t="shared" si="1"/>
        <v>1.0658693117288403</v>
      </c>
      <c r="J23" s="53">
        <v>3244.4</v>
      </c>
      <c r="K23" s="53">
        <f t="shared" si="2"/>
        <v>20.135687108325875</v>
      </c>
      <c r="L23" s="53">
        <f t="shared" si="3"/>
        <v>58.425707172522948</v>
      </c>
      <c r="M23" s="53">
        <f t="shared" si="4"/>
        <v>60.918847946806089</v>
      </c>
      <c r="N23" s="61">
        <f t="shared" si="5"/>
        <v>0.87768817061535043</v>
      </c>
    </row>
    <row r="24" spans="2:14">
      <c r="B24" s="16">
        <v>240</v>
      </c>
      <c r="C24" s="2">
        <v>5.0999999999999996</v>
      </c>
      <c r="D24" s="3">
        <v>25</v>
      </c>
      <c r="E24" s="56">
        <v>2220</v>
      </c>
      <c r="F24" s="56">
        <f t="shared" si="6"/>
        <v>10.593119244166628</v>
      </c>
      <c r="G24" s="56">
        <f t="shared" si="7"/>
        <v>78.649945663150007</v>
      </c>
      <c r="H24" s="59">
        <f t="shared" si="0"/>
        <v>78.649945663150007</v>
      </c>
      <c r="I24" s="59">
        <f t="shared" si="1"/>
        <v>1.5441159012651742</v>
      </c>
      <c r="J24" s="53">
        <v>1994.1</v>
      </c>
      <c r="K24" s="53">
        <f t="shared" si="2"/>
        <v>13.139827663384064</v>
      </c>
      <c r="L24" s="53">
        <f t="shared" si="3"/>
        <v>72.870106689618126</v>
      </c>
      <c r="M24" s="53">
        <f t="shared" si="4"/>
        <v>75.979618632328311</v>
      </c>
      <c r="N24" s="61">
        <f t="shared" si="5"/>
        <v>1.3045339918579035</v>
      </c>
    </row>
    <row r="25" spans="2:14" ht="15.75" thickBot="1">
      <c r="B25" s="14">
        <v>300</v>
      </c>
      <c r="C25" s="12">
        <v>5.0999999999999996</v>
      </c>
      <c r="D25" s="13">
        <v>25</v>
      </c>
      <c r="E25" s="57">
        <v>1716.6</v>
      </c>
      <c r="F25" s="57">
        <f t="shared" si="6"/>
        <v>8.1910578804218162</v>
      </c>
      <c r="G25" s="57">
        <f t="shared" si="7"/>
        <v>83.491214741154636</v>
      </c>
      <c r="H25" s="60">
        <f t="shared" si="0"/>
        <v>83.491214741154636</v>
      </c>
      <c r="I25" s="60">
        <f t="shared" si="1"/>
        <v>1.8012775068473796</v>
      </c>
      <c r="J25" s="54">
        <v>1558.7</v>
      </c>
      <c r="K25" s="54">
        <f t="shared" si="2"/>
        <v>10.703614592658909</v>
      </c>
      <c r="L25" s="54">
        <f t="shared" si="3"/>
        <v>77.900172713566974</v>
      </c>
      <c r="M25" s="54">
        <f t="shared" si="4"/>
        <v>81.224327547369825</v>
      </c>
      <c r="N25" s="62">
        <f t="shared" si="5"/>
        <v>1.5096003925884502</v>
      </c>
    </row>
    <row r="26" spans="2:14" ht="15.75" thickBot="1"/>
    <row r="27" spans="2:14">
      <c r="B27" s="24" t="s">
        <v>135</v>
      </c>
      <c r="C27" s="23">
        <f>(5.29+5.18)/2</f>
        <v>5.2349999999999994</v>
      </c>
    </row>
    <row r="28" spans="2:14" ht="15.75" thickBot="1">
      <c r="B28" s="22" t="s">
        <v>136</v>
      </c>
      <c r="C28" s="21">
        <f>(3.63+3.69)/2</f>
        <v>3.66</v>
      </c>
    </row>
    <row r="29" spans="2:14" ht="15.75" thickBot="1">
      <c r="D29" s="9"/>
      <c r="E29" s="8"/>
      <c r="F29" s="8"/>
      <c r="G29" s="8"/>
      <c r="H29" s="8"/>
      <c r="I29" s="8"/>
    </row>
    <row r="30" spans="2:14" ht="14.45" customHeight="1">
      <c r="B30" s="20" t="s">
        <v>137</v>
      </c>
      <c r="C30" s="19">
        <f>(2.536+2.507)/2</f>
        <v>2.5215000000000001</v>
      </c>
      <c r="D30" s="7"/>
      <c r="E30" s="7"/>
      <c r="F30" s="7"/>
      <c r="G30" s="7"/>
      <c r="H30" s="7"/>
      <c r="I30" s="7"/>
    </row>
    <row r="31" spans="2:14" ht="15.75" thickBot="1">
      <c r="B31" s="18" t="s">
        <v>138</v>
      </c>
      <c r="C31" s="44">
        <f>(2.57+2.545)/2</f>
        <v>2.5575000000000001</v>
      </c>
      <c r="D31" s="7"/>
      <c r="E31" s="7"/>
      <c r="F31" s="7"/>
      <c r="G31" s="7"/>
      <c r="H31" s="7"/>
      <c r="I31" s="7"/>
    </row>
    <row r="32" spans="2:14" ht="34.5" customHeight="1">
      <c r="B32" s="7"/>
      <c r="C32" s="7"/>
      <c r="D32" s="7"/>
      <c r="E32" s="7"/>
      <c r="F32" s="7"/>
      <c r="G32" s="7"/>
      <c r="H32" s="7"/>
      <c r="I32" s="7"/>
    </row>
    <row r="37" spans="2:11">
      <c r="B37" s="6"/>
      <c r="C37" s="6"/>
      <c r="D37" s="6"/>
      <c r="E37" s="6"/>
      <c r="F37" s="6"/>
      <c r="G37" s="6"/>
      <c r="J37" s="6"/>
      <c r="K37" s="3"/>
    </row>
    <row r="38" spans="2:11">
      <c r="B38" s="3"/>
      <c r="C38" s="2"/>
      <c r="D38" s="3"/>
      <c r="E38" s="2"/>
      <c r="F38" s="2"/>
      <c r="G38" s="2"/>
      <c r="J38" s="6"/>
      <c r="K38" s="3"/>
    </row>
    <row r="39" spans="2:11">
      <c r="B39" s="3"/>
      <c r="C39" s="2"/>
      <c r="D39" s="3"/>
      <c r="E39" s="2"/>
      <c r="F39" s="2"/>
      <c r="G39" s="2"/>
    </row>
    <row r="40" spans="2:11">
      <c r="B40" s="3"/>
      <c r="C40" s="2"/>
      <c r="D40" s="3"/>
      <c r="E40" s="2"/>
      <c r="F40" s="2"/>
      <c r="G40" s="2"/>
      <c r="J40" s="5"/>
      <c r="K40" s="4"/>
    </row>
    <row r="41" spans="2:11">
      <c r="B41" s="3"/>
      <c r="C41" s="2"/>
      <c r="D41" s="3"/>
      <c r="E41" s="2"/>
      <c r="F41" s="2"/>
      <c r="G41" s="2"/>
      <c r="J41" s="5"/>
      <c r="K41" s="4"/>
    </row>
    <row r="42" spans="2:11">
      <c r="B42" s="3"/>
      <c r="C42" s="2"/>
      <c r="D42" s="3"/>
      <c r="E42" s="2"/>
      <c r="F42" s="2"/>
      <c r="G42" s="2"/>
    </row>
    <row r="43" spans="2:11">
      <c r="B43" s="3"/>
      <c r="C43" s="2"/>
      <c r="D43" s="3"/>
      <c r="E43" s="2"/>
      <c r="F43" s="2"/>
      <c r="G43" s="2"/>
    </row>
    <row r="44" spans="2:11">
      <c r="B44" s="3"/>
      <c r="C44" s="2"/>
      <c r="D44" s="3"/>
      <c r="E44" s="2"/>
      <c r="F44" s="2"/>
      <c r="G44" s="2"/>
    </row>
    <row r="50" spans="2:11" ht="15.75">
      <c r="B50" s="10"/>
    </row>
    <row r="52" spans="2:11">
      <c r="B52" s="8"/>
      <c r="C52" s="8"/>
      <c r="D52" s="9"/>
      <c r="E52" s="8"/>
      <c r="F52" s="8"/>
      <c r="G52" s="8"/>
      <c r="H52" s="8"/>
      <c r="I52" s="8"/>
    </row>
    <row r="53" spans="2:11" ht="14.45" customHeight="1">
      <c r="B53" s="7"/>
      <c r="C53" s="7"/>
      <c r="D53" s="7"/>
      <c r="E53" s="7"/>
      <c r="F53" s="7"/>
      <c r="G53" s="7"/>
      <c r="H53" s="7"/>
      <c r="I53" s="7"/>
    </row>
    <row r="54" spans="2:11">
      <c r="B54" s="7"/>
      <c r="C54" s="7"/>
      <c r="D54" s="7"/>
      <c r="E54" s="7"/>
      <c r="F54" s="7"/>
      <c r="G54" s="7"/>
      <c r="H54" s="7"/>
      <c r="I54" s="7"/>
    </row>
    <row r="55" spans="2:11" ht="26.1" customHeight="1">
      <c r="B55" s="7"/>
      <c r="C55" s="7"/>
      <c r="D55" s="7"/>
      <c r="E55" s="7"/>
      <c r="F55" s="7"/>
      <c r="G55" s="7"/>
      <c r="H55" s="7"/>
      <c r="I55" s="7"/>
    </row>
    <row r="60" spans="2:11">
      <c r="B60" s="6"/>
      <c r="C60" s="6"/>
      <c r="D60" s="6"/>
      <c r="E60" s="6"/>
      <c r="F60" s="6"/>
      <c r="G60" s="6"/>
      <c r="J60" s="6"/>
      <c r="K60" s="3"/>
    </row>
    <row r="61" spans="2:11">
      <c r="B61" s="3"/>
      <c r="C61" s="2"/>
      <c r="D61" s="3"/>
      <c r="E61" s="2"/>
      <c r="F61" s="2"/>
      <c r="G61" s="2"/>
      <c r="H61" s="1"/>
      <c r="I61" s="1"/>
      <c r="J61" s="6"/>
      <c r="K61" s="3"/>
    </row>
    <row r="62" spans="2:11">
      <c r="B62" s="3"/>
      <c r="C62" s="2"/>
      <c r="D62" s="3"/>
      <c r="E62" s="2"/>
      <c r="F62" s="2"/>
      <c r="G62" s="2"/>
      <c r="H62" s="1"/>
      <c r="I62" s="1"/>
    </row>
    <row r="63" spans="2:11">
      <c r="B63" s="3"/>
      <c r="C63" s="2"/>
      <c r="D63" s="3"/>
      <c r="E63" s="2"/>
      <c r="F63" s="2"/>
      <c r="G63" s="2"/>
      <c r="H63" s="1"/>
      <c r="I63" s="1"/>
      <c r="J63" s="5"/>
      <c r="K63" s="4"/>
    </row>
    <row r="64" spans="2:11">
      <c r="B64" s="3"/>
      <c r="C64" s="2"/>
      <c r="D64" s="3"/>
      <c r="E64" s="2"/>
      <c r="F64" s="2"/>
      <c r="G64" s="2"/>
      <c r="H64" s="1"/>
      <c r="I64" s="1"/>
      <c r="J64" s="5"/>
      <c r="K64" s="4"/>
    </row>
    <row r="65" spans="2:9">
      <c r="B65" s="3"/>
      <c r="C65" s="2"/>
      <c r="D65" s="3"/>
      <c r="E65" s="2"/>
      <c r="F65" s="2"/>
      <c r="G65" s="2"/>
      <c r="H65" s="1"/>
      <c r="I65" s="1"/>
    </row>
    <row r="66" spans="2:9">
      <c r="B66" s="3"/>
      <c r="C66" s="2"/>
      <c r="D66" s="3"/>
      <c r="E66" s="2"/>
      <c r="F66" s="2"/>
      <c r="G66" s="2"/>
      <c r="H66" s="1"/>
      <c r="I66" s="1"/>
    </row>
    <row r="67" spans="2:9">
      <c r="B67" s="3"/>
      <c r="C67" s="2"/>
      <c r="D67" s="3"/>
      <c r="E67" s="2"/>
      <c r="F67" s="2"/>
      <c r="G67" s="2"/>
      <c r="H67" s="1"/>
      <c r="I67"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B7ECF-1AEE-45BC-AF91-82137BDB3CB6}">
  <dimension ref="B4:N67"/>
  <sheetViews>
    <sheetView topLeftCell="B5" zoomScale="64" workbookViewId="0">
      <selection activeCell="I9" sqref="I9"/>
    </sheetView>
  </sheetViews>
  <sheetFormatPr defaultColWidth="11.42578125" defaultRowHeight="15"/>
  <cols>
    <col min="2" max="2" width="27.7109375" customWidth="1"/>
    <col min="3" max="3" width="20.5703125" customWidth="1"/>
    <col min="4" max="4" width="19.140625" customWidth="1"/>
    <col min="5" max="5" width="22.42578125" customWidth="1"/>
    <col min="6" max="6" width="25.140625" customWidth="1"/>
    <col min="7" max="7" width="19.85546875" customWidth="1"/>
    <col min="8" max="9" width="26.5703125" customWidth="1"/>
    <col min="10" max="10" width="12.5703125" customWidth="1"/>
    <col min="11" max="11" width="26.85546875" customWidth="1"/>
    <col min="12" max="12" width="20.85546875" customWidth="1"/>
    <col min="13" max="13" width="26.42578125" customWidth="1"/>
  </cols>
  <sheetData>
    <row r="4" spans="2:14" ht="15.75">
      <c r="B4" s="10"/>
    </row>
    <row r="5" spans="2:14" ht="15.75" thickBot="1"/>
    <row r="6" spans="2:14" ht="18.75" thickBot="1">
      <c r="B6" s="30" t="s">
        <v>119</v>
      </c>
      <c r="C6" s="29" t="s">
        <v>36</v>
      </c>
      <c r="D6" s="26" t="s">
        <v>120</v>
      </c>
      <c r="E6" s="30" t="s">
        <v>121</v>
      </c>
      <c r="F6" s="30" t="s">
        <v>122</v>
      </c>
      <c r="G6" s="29" t="s">
        <v>123</v>
      </c>
      <c r="H6" s="28" t="s">
        <v>124</v>
      </c>
      <c r="I6" s="5"/>
    </row>
    <row r="7" spans="2:14" ht="29.45" customHeight="1">
      <c r="B7" s="124" t="s">
        <v>179</v>
      </c>
      <c r="C7" s="122" t="s">
        <v>189</v>
      </c>
      <c r="D7" s="126" t="s">
        <v>126</v>
      </c>
      <c r="E7" s="128" t="s">
        <v>126</v>
      </c>
      <c r="F7" s="128" t="s">
        <v>162</v>
      </c>
      <c r="G7" s="121" t="s">
        <v>151</v>
      </c>
      <c r="H7" s="121" t="s">
        <v>140</v>
      </c>
      <c r="I7" s="50"/>
    </row>
    <row r="8" spans="2:14" ht="37.5" customHeight="1">
      <c r="B8" s="124"/>
      <c r="C8" s="122"/>
      <c r="D8" s="126"/>
      <c r="E8" s="124"/>
      <c r="F8" s="124"/>
      <c r="G8" s="122"/>
      <c r="H8" s="122"/>
      <c r="I8" s="50"/>
    </row>
    <row r="9" spans="2:14" ht="15.75" thickBot="1">
      <c r="B9" s="125"/>
      <c r="C9" s="123"/>
      <c r="D9" s="127"/>
      <c r="E9" s="125"/>
      <c r="F9" s="125"/>
      <c r="G9" s="123"/>
      <c r="H9" s="123"/>
      <c r="I9" s="50"/>
    </row>
    <row r="10" spans="2:14">
      <c r="E10" s="3"/>
      <c r="F10" s="3"/>
      <c r="G10" s="3"/>
      <c r="H10" s="3"/>
      <c r="I10" s="3"/>
      <c r="J10" s="3"/>
    </row>
    <row r="13" spans="2:14" ht="15.75" thickBot="1"/>
    <row r="14" spans="2:14" ht="15.75" thickBot="1">
      <c r="B14" s="27" t="s">
        <v>129</v>
      </c>
      <c r="C14" s="26" t="s">
        <v>130</v>
      </c>
      <c r="D14" s="26" t="s">
        <v>131</v>
      </c>
      <c r="E14" s="55" t="s">
        <v>180</v>
      </c>
      <c r="F14" s="55" t="s">
        <v>181</v>
      </c>
      <c r="G14" s="55" t="s">
        <v>182</v>
      </c>
      <c r="H14" s="55" t="s">
        <v>183</v>
      </c>
      <c r="I14" s="55" t="s">
        <v>168</v>
      </c>
      <c r="J14" s="51" t="s">
        <v>184</v>
      </c>
      <c r="K14" s="51" t="s">
        <v>185</v>
      </c>
      <c r="L14" s="51" t="s">
        <v>186</v>
      </c>
      <c r="M14" s="51" t="s">
        <v>187</v>
      </c>
      <c r="N14" s="52" t="s">
        <v>188</v>
      </c>
    </row>
    <row r="15" spans="2:14">
      <c r="B15" s="16">
        <v>0</v>
      </c>
      <c r="C15" s="2">
        <v>5.2</v>
      </c>
      <c r="D15" s="3">
        <v>25</v>
      </c>
      <c r="E15" s="56">
        <v>10245.5</v>
      </c>
      <c r="F15" s="56">
        <f>E15/209.57</f>
        <v>48.888199646896027</v>
      </c>
      <c r="G15" s="56">
        <f t="shared" ref="G15:G25" si="0">($F$15-F15)/$F$15*100</f>
        <v>0</v>
      </c>
      <c r="H15" s="56">
        <f>($E$15-E15)/$E$15*100</f>
        <v>0</v>
      </c>
      <c r="I15" s="63">
        <f>-LN(F15/$F$15)</f>
        <v>0</v>
      </c>
      <c r="J15" s="53">
        <v>8285.6</v>
      </c>
      <c r="K15" s="65">
        <f>(J15+354.25)/178.72</f>
        <v>48.342938675022381</v>
      </c>
      <c r="L15" s="65">
        <f>($K$15-K15)/$K$15*100</f>
        <v>0</v>
      </c>
      <c r="M15" s="67">
        <f>($J$15-J15)/$J$15*100</f>
        <v>0</v>
      </c>
      <c r="N15" s="69">
        <f>-LN(K15/$K$15)</f>
        <v>0</v>
      </c>
    </row>
    <row r="16" spans="2:14">
      <c r="B16" s="16">
        <v>5</v>
      </c>
      <c r="C16" s="2">
        <v>5.0999999999999996</v>
      </c>
      <c r="D16" s="3">
        <v>25</v>
      </c>
      <c r="E16" s="56">
        <v>9303.9</v>
      </c>
      <c r="F16" s="56">
        <f>E16/209.57</f>
        <v>44.395190151262106</v>
      </c>
      <c r="G16" s="56">
        <f t="shared" si="0"/>
        <v>9.1903762627495063</v>
      </c>
      <c r="H16" s="56">
        <f t="shared" ref="H16:H25" si="1">($E$15-E16)/$E$15*100</f>
        <v>9.1903762627495027</v>
      </c>
      <c r="I16" s="63">
        <f t="shared" ref="I16:I25" si="2">-LN(F16/$F$15)</f>
        <v>9.6404917701496104E-2</v>
      </c>
      <c r="J16" s="53">
        <v>7515.9</v>
      </c>
      <c r="K16" s="65">
        <f t="shared" ref="K16:K25" si="3">(J16+354.25)/178.72</f>
        <v>44.036201880035811</v>
      </c>
      <c r="L16" s="65">
        <f>($K$15-K16)/$K$15*100</f>
        <v>8.9087194800835636</v>
      </c>
      <c r="M16" s="67">
        <f>($J$15-J16)/$J$15*100</f>
        <v>9.2896108911847151</v>
      </c>
      <c r="N16" s="69">
        <f t="shared" ref="N16:N25" si="4">-LN(K16/$K$15)</f>
        <v>9.3308099586012105E-2</v>
      </c>
    </row>
    <row r="17" spans="2:14">
      <c r="B17" s="16">
        <v>15</v>
      </c>
      <c r="C17" s="2">
        <v>5.2</v>
      </c>
      <c r="D17" s="3">
        <v>25</v>
      </c>
      <c r="E17" s="56">
        <v>8164.7</v>
      </c>
      <c r="F17" s="56">
        <f t="shared" ref="F17:F25" si="5">E17/209.57</f>
        <v>38.95929760939066</v>
      </c>
      <c r="G17" s="56">
        <f t="shared" si="0"/>
        <v>20.309404128641837</v>
      </c>
      <c r="H17" s="56">
        <f t="shared" si="1"/>
        <v>20.309404128641845</v>
      </c>
      <c r="I17" s="63">
        <f t="shared" si="2"/>
        <v>0.2270186012396167</v>
      </c>
      <c r="J17" s="53">
        <v>6787.2</v>
      </c>
      <c r="K17" s="65">
        <f t="shared" si="3"/>
        <v>39.958874216651743</v>
      </c>
      <c r="L17" s="65">
        <f t="shared" ref="L17:L25" si="6">($K$15-K17)/$K$15*100</f>
        <v>17.34289368449684</v>
      </c>
      <c r="M17" s="67">
        <f t="shared" ref="M17:M25" si="7">($J$15-J17)/$J$15*100</f>
        <v>18.084387370860295</v>
      </c>
      <c r="N17" s="69">
        <f t="shared" si="4"/>
        <v>0.19046938458836343</v>
      </c>
    </row>
    <row r="18" spans="2:14">
      <c r="B18" s="16">
        <v>30</v>
      </c>
      <c r="C18" s="2">
        <v>5.2</v>
      </c>
      <c r="D18" s="3">
        <v>25</v>
      </c>
      <c r="E18" s="56">
        <v>7013.9</v>
      </c>
      <c r="F18" s="56">
        <f t="shared" si="5"/>
        <v>33.468053633630767</v>
      </c>
      <c r="G18" s="56">
        <f t="shared" si="0"/>
        <v>31.541652432775368</v>
      </c>
      <c r="H18" s="56">
        <f t="shared" si="1"/>
        <v>31.541652432775368</v>
      </c>
      <c r="I18" s="63">
        <f t="shared" si="2"/>
        <v>0.37894469037828465</v>
      </c>
      <c r="J18" s="53">
        <v>6138.1</v>
      </c>
      <c r="K18" s="65">
        <f t="shared" si="3"/>
        <v>36.326935989256938</v>
      </c>
      <c r="L18" s="65">
        <f t="shared" si="6"/>
        <v>24.855755597608756</v>
      </c>
      <c r="M18" s="67">
        <f t="shared" si="7"/>
        <v>25.918460944288885</v>
      </c>
      <c r="N18" s="69">
        <f t="shared" si="4"/>
        <v>0.28576066084732771</v>
      </c>
    </row>
    <row r="19" spans="2:14">
      <c r="B19" s="16">
        <v>60</v>
      </c>
      <c r="C19" s="2">
        <v>5.2</v>
      </c>
      <c r="D19" s="3">
        <v>25</v>
      </c>
      <c r="E19" s="56">
        <v>5017.1000000000004</v>
      </c>
      <c r="F19" s="56">
        <f t="shared" si="5"/>
        <v>23.939972324283058</v>
      </c>
      <c r="G19" s="56">
        <f t="shared" si="0"/>
        <v>51.031184422429355</v>
      </c>
      <c r="H19" s="56">
        <f t="shared" si="1"/>
        <v>51.031184422429355</v>
      </c>
      <c r="I19" s="63">
        <f t="shared" si="2"/>
        <v>0.71398650726086188</v>
      </c>
      <c r="J19" s="53">
        <v>4736.7</v>
      </c>
      <c r="K19" s="65">
        <f t="shared" si="3"/>
        <v>28.485619964189794</v>
      </c>
      <c r="L19" s="65">
        <f t="shared" si="6"/>
        <v>41.075944605519773</v>
      </c>
      <c r="M19" s="67">
        <f t="shared" si="7"/>
        <v>42.832142512310519</v>
      </c>
      <c r="N19" s="69">
        <f t="shared" si="4"/>
        <v>0.52892076793536913</v>
      </c>
    </row>
    <row r="20" spans="2:14">
      <c r="B20" s="16">
        <v>90</v>
      </c>
      <c r="C20" s="2">
        <v>5.2</v>
      </c>
      <c r="D20" s="3">
        <v>25</v>
      </c>
      <c r="E20" s="56">
        <v>3798.7</v>
      </c>
      <c r="F20" s="56">
        <f t="shared" si="5"/>
        <v>18.126163095862957</v>
      </c>
      <c r="G20" s="56">
        <f t="shared" si="0"/>
        <v>62.923234590795964</v>
      </c>
      <c r="H20" s="56">
        <f t="shared" si="1"/>
        <v>62.923234590795964</v>
      </c>
      <c r="I20" s="63">
        <f t="shared" si="2"/>
        <v>0.99217968185692329</v>
      </c>
      <c r="J20" s="53">
        <v>3478.4</v>
      </c>
      <c r="K20" s="65">
        <f t="shared" si="3"/>
        <v>21.44499776186213</v>
      </c>
      <c r="L20" s="65">
        <f t="shared" si="6"/>
        <v>55.639854858591299</v>
      </c>
      <c r="M20" s="67">
        <f t="shared" si="7"/>
        <v>58.01873129284543</v>
      </c>
      <c r="N20" s="69">
        <f t="shared" si="4"/>
        <v>0.81282875161297519</v>
      </c>
    </row>
    <row r="21" spans="2:14">
      <c r="B21" s="16">
        <v>120</v>
      </c>
      <c r="C21" s="2">
        <v>5.2</v>
      </c>
      <c r="D21" s="3">
        <v>25</v>
      </c>
      <c r="E21" s="56">
        <v>2883.1</v>
      </c>
      <c r="F21" s="56">
        <f t="shared" si="5"/>
        <v>13.757217158944506</v>
      </c>
      <c r="G21" s="56">
        <f t="shared" si="0"/>
        <v>71.859840905763505</v>
      </c>
      <c r="H21" s="56">
        <f t="shared" si="1"/>
        <v>71.859840905763505</v>
      </c>
      <c r="I21" s="63">
        <f t="shared" si="2"/>
        <v>1.2679724806491559</v>
      </c>
      <c r="J21" s="53">
        <v>2605.6</v>
      </c>
      <c r="K21" s="65">
        <f t="shared" si="3"/>
        <v>16.561380931065354</v>
      </c>
      <c r="L21" s="65">
        <f t="shared" si="6"/>
        <v>65.741882092860408</v>
      </c>
      <c r="M21" s="67">
        <f t="shared" si="7"/>
        <v>68.552669691995746</v>
      </c>
      <c r="N21" s="69">
        <f t="shared" si="4"/>
        <v>1.0712466301779093</v>
      </c>
    </row>
    <row r="22" spans="2:14">
      <c r="B22" s="16">
        <v>150</v>
      </c>
      <c r="C22" s="2">
        <v>5.2</v>
      </c>
      <c r="D22" s="3">
        <v>25</v>
      </c>
      <c r="E22" s="56">
        <v>2108.6999999999998</v>
      </c>
      <c r="F22" s="56">
        <f t="shared" si="5"/>
        <v>10.062031779357731</v>
      </c>
      <c r="G22" s="56">
        <f t="shared" si="0"/>
        <v>79.418281196622914</v>
      </c>
      <c r="H22" s="56">
        <f t="shared" si="1"/>
        <v>79.418281196622914</v>
      </c>
      <c r="I22" s="63">
        <f t="shared" si="2"/>
        <v>1.5807669409269181</v>
      </c>
      <c r="J22" s="53">
        <v>1875.8</v>
      </c>
      <c r="K22" s="65">
        <f t="shared" si="3"/>
        <v>12.477898388540735</v>
      </c>
      <c r="L22" s="65">
        <f t="shared" si="6"/>
        <v>74.188787999791657</v>
      </c>
      <c r="M22" s="67">
        <f t="shared" si="7"/>
        <v>77.360722216858164</v>
      </c>
      <c r="N22" s="69">
        <f t="shared" si="4"/>
        <v>1.3543612148088149</v>
      </c>
    </row>
    <row r="23" spans="2:14">
      <c r="B23" s="16">
        <v>180</v>
      </c>
      <c r="C23" s="2">
        <v>5.2</v>
      </c>
      <c r="D23" s="3">
        <v>25</v>
      </c>
      <c r="E23" s="56">
        <v>1469.7</v>
      </c>
      <c r="F23" s="56">
        <f t="shared" si="5"/>
        <v>7.0129312401584203</v>
      </c>
      <c r="G23" s="56">
        <f t="shared" si="0"/>
        <v>85.655165682494754</v>
      </c>
      <c r="H23" s="56">
        <f t="shared" si="1"/>
        <v>85.655165682494754</v>
      </c>
      <c r="I23" s="63">
        <f t="shared" si="2"/>
        <v>1.9417802864642484</v>
      </c>
      <c r="J23" s="53">
        <v>1468.1</v>
      </c>
      <c r="K23" s="65">
        <f t="shared" si="3"/>
        <v>10.1966763652641</v>
      </c>
      <c r="L23" s="65">
        <f t="shared" si="6"/>
        <v>78.907619923957014</v>
      </c>
      <c r="M23" s="67">
        <f t="shared" si="7"/>
        <v>82.28130732837694</v>
      </c>
      <c r="N23" s="69">
        <f t="shared" si="4"/>
        <v>1.5562583445674236</v>
      </c>
    </row>
    <row r="24" spans="2:14">
      <c r="B24" s="16">
        <v>246</v>
      </c>
      <c r="C24" s="2">
        <v>5.2</v>
      </c>
      <c r="D24" s="3">
        <v>25</v>
      </c>
      <c r="E24" s="56">
        <v>809.7</v>
      </c>
      <c r="F24" s="56">
        <f t="shared" si="5"/>
        <v>3.8636255189196929</v>
      </c>
      <c r="G24" s="56">
        <f t="shared" si="0"/>
        <v>92.097018203113564</v>
      </c>
      <c r="H24" s="56">
        <f t="shared" si="1"/>
        <v>92.097018203113549</v>
      </c>
      <c r="I24" s="63">
        <f t="shared" si="2"/>
        <v>2.5379300550848187</v>
      </c>
      <c r="J24" s="53">
        <v>732</v>
      </c>
      <c r="K24" s="65">
        <f t="shared" si="3"/>
        <v>6.0779431512981201</v>
      </c>
      <c r="L24" s="65">
        <f t="shared" si="6"/>
        <v>87.427443763491269</v>
      </c>
      <c r="M24" s="67">
        <f t="shared" si="7"/>
        <v>91.165395384763926</v>
      </c>
      <c r="N24" s="69">
        <f t="shared" si="4"/>
        <v>2.0736538239566826</v>
      </c>
    </row>
    <row r="25" spans="2:14" ht="15.75" thickBot="1">
      <c r="B25" s="14">
        <v>300</v>
      </c>
      <c r="C25" s="12">
        <v>5.0999999999999996</v>
      </c>
      <c r="D25" s="13">
        <v>25</v>
      </c>
      <c r="E25" s="57">
        <v>551.29999999999995</v>
      </c>
      <c r="F25" s="57">
        <f t="shared" si="5"/>
        <v>2.630624612301379</v>
      </c>
      <c r="G25" s="57">
        <f t="shared" si="0"/>
        <v>94.619101068761893</v>
      </c>
      <c r="H25" s="57">
        <f t="shared" si="1"/>
        <v>94.619101068761907</v>
      </c>
      <c r="I25" s="64">
        <f t="shared" si="2"/>
        <v>2.9223147381812491</v>
      </c>
      <c r="J25" s="54">
        <v>594.4</v>
      </c>
      <c r="K25" s="66">
        <f t="shared" si="3"/>
        <v>5.3080237242614148</v>
      </c>
      <c r="L25" s="66">
        <f t="shared" si="6"/>
        <v>89.020064005740835</v>
      </c>
      <c r="M25" s="68">
        <f t="shared" si="7"/>
        <v>92.826107946316512</v>
      </c>
      <c r="N25" s="70">
        <f t="shared" si="4"/>
        <v>2.2091005792261416</v>
      </c>
    </row>
    <row r="27" spans="2:14" ht="15.75" thickBot="1"/>
    <row r="28" spans="2:14">
      <c r="B28" s="24" t="s">
        <v>135</v>
      </c>
      <c r="C28" s="23">
        <f>(5.4+5.22)/2</f>
        <v>5.3100000000000005</v>
      </c>
    </row>
    <row r="29" spans="2:14" ht="15.75" thickBot="1">
      <c r="B29" s="22" t="s">
        <v>136</v>
      </c>
      <c r="C29" s="21">
        <f>(3.56+3.5)/2</f>
        <v>3.5300000000000002</v>
      </c>
      <c r="D29" s="9"/>
      <c r="E29" s="8"/>
      <c r="F29" s="8"/>
      <c r="G29" s="8"/>
      <c r="H29" s="8"/>
      <c r="I29" s="8"/>
    </row>
    <row r="30" spans="2:14" ht="14.45" customHeight="1" thickBot="1">
      <c r="D30" s="7"/>
      <c r="E30" s="7"/>
      <c r="F30" s="7"/>
      <c r="G30" s="7"/>
      <c r="H30" s="7"/>
      <c r="I30" s="7"/>
    </row>
    <row r="31" spans="2:14">
      <c r="B31" s="20" t="s">
        <v>137</v>
      </c>
      <c r="C31" s="19">
        <f>(2.442+2.434)/2</f>
        <v>2.4380000000000002</v>
      </c>
      <c r="D31" s="7"/>
      <c r="E31" s="7"/>
      <c r="F31" s="7"/>
      <c r="G31" s="7"/>
      <c r="H31" s="7"/>
      <c r="I31" s="7"/>
    </row>
    <row r="32" spans="2:14" ht="34.5" customHeight="1" thickBot="1">
      <c r="B32" s="18" t="s">
        <v>138</v>
      </c>
      <c r="C32" s="44">
        <f>(2.763+2.763)/2</f>
        <v>2.7629999999999999</v>
      </c>
      <c r="D32" s="7"/>
      <c r="E32" s="7"/>
      <c r="F32" s="7"/>
      <c r="G32" s="7"/>
      <c r="H32" s="7"/>
      <c r="I32" s="7"/>
    </row>
    <row r="37" spans="2:11">
      <c r="B37" s="6"/>
      <c r="C37" s="6"/>
      <c r="D37" s="6"/>
      <c r="E37" s="6"/>
      <c r="F37" s="6"/>
      <c r="G37" s="6"/>
      <c r="J37" s="6"/>
      <c r="K37" s="3"/>
    </row>
    <row r="38" spans="2:11">
      <c r="B38" s="3"/>
      <c r="C38" s="2"/>
      <c r="D38" s="3"/>
      <c r="E38" s="2"/>
      <c r="F38" s="2"/>
      <c r="G38" s="2"/>
      <c r="J38" s="6"/>
      <c r="K38" s="3"/>
    </row>
    <row r="39" spans="2:11">
      <c r="B39" s="3"/>
      <c r="C39" s="2"/>
      <c r="D39" s="3"/>
      <c r="E39" s="2"/>
      <c r="F39" s="2"/>
      <c r="G39" s="2"/>
    </row>
    <row r="40" spans="2:11">
      <c r="B40" s="3"/>
      <c r="C40" s="2"/>
      <c r="D40" s="3"/>
      <c r="E40" s="2"/>
      <c r="F40" s="2"/>
      <c r="G40" s="2"/>
      <c r="J40" s="5"/>
      <c r="K40" s="4"/>
    </row>
    <row r="41" spans="2:11">
      <c r="B41" s="3"/>
      <c r="C41" s="2"/>
      <c r="D41" s="3"/>
      <c r="E41" s="2"/>
      <c r="F41" s="2"/>
      <c r="G41" s="2"/>
      <c r="J41" s="5"/>
      <c r="K41" s="4"/>
    </row>
    <row r="42" spans="2:11">
      <c r="B42" s="3"/>
      <c r="C42" s="2"/>
      <c r="D42" s="3"/>
      <c r="E42" s="2"/>
      <c r="F42" s="2"/>
      <c r="G42" s="2"/>
    </row>
    <row r="43" spans="2:11">
      <c r="B43" s="3"/>
      <c r="C43" s="2"/>
      <c r="D43" s="3"/>
      <c r="E43" s="2"/>
      <c r="F43" s="2"/>
      <c r="G43" s="2"/>
    </row>
    <row r="44" spans="2:11">
      <c r="B44" s="3"/>
      <c r="C44" s="2"/>
      <c r="D44" s="3"/>
      <c r="E44" s="2"/>
      <c r="F44" s="2"/>
      <c r="G44" s="2"/>
    </row>
    <row r="50" spans="2:11" ht="15.75">
      <c r="B50" s="10"/>
    </row>
    <row r="52" spans="2:11">
      <c r="B52" s="8"/>
      <c r="C52" s="8"/>
      <c r="D52" s="9"/>
      <c r="E52" s="8"/>
      <c r="F52" s="8"/>
      <c r="G52" s="8"/>
      <c r="H52" s="8"/>
      <c r="I52" s="8"/>
    </row>
    <row r="53" spans="2:11" ht="14.45" customHeight="1">
      <c r="B53" s="7"/>
      <c r="C53" s="7"/>
      <c r="D53" s="7"/>
      <c r="E53" s="7"/>
      <c r="F53" s="7"/>
      <c r="G53" s="7"/>
      <c r="H53" s="7"/>
      <c r="I53" s="7"/>
    </row>
    <row r="54" spans="2:11">
      <c r="B54" s="7"/>
      <c r="C54" s="7"/>
      <c r="D54" s="7"/>
      <c r="E54" s="7"/>
      <c r="F54" s="7"/>
      <c r="G54" s="7"/>
      <c r="H54" s="7"/>
      <c r="I54" s="7"/>
    </row>
    <row r="55" spans="2:11" ht="26.1" customHeight="1">
      <c r="B55" s="7"/>
      <c r="C55" s="7"/>
      <c r="D55" s="7"/>
      <c r="E55" s="7"/>
      <c r="F55" s="7"/>
      <c r="G55" s="7"/>
      <c r="H55" s="7"/>
      <c r="I55" s="7"/>
    </row>
    <row r="60" spans="2:11">
      <c r="B60" s="6"/>
      <c r="C60" s="6"/>
      <c r="D60" s="6"/>
      <c r="E60" s="6"/>
      <c r="F60" s="6"/>
      <c r="G60" s="6"/>
      <c r="J60" s="6"/>
      <c r="K60" s="3"/>
    </row>
    <row r="61" spans="2:11">
      <c r="B61" s="3"/>
      <c r="C61" s="2"/>
      <c r="D61" s="3"/>
      <c r="E61" s="2"/>
      <c r="F61" s="2"/>
      <c r="G61" s="2"/>
      <c r="H61" s="1"/>
      <c r="I61" s="1"/>
      <c r="J61" s="6"/>
      <c r="K61" s="3"/>
    </row>
    <row r="62" spans="2:11">
      <c r="B62" s="3"/>
      <c r="C62" s="2"/>
      <c r="D62" s="3"/>
      <c r="E62" s="2"/>
      <c r="F62" s="2"/>
      <c r="G62" s="2"/>
      <c r="H62" s="1"/>
      <c r="I62" s="1"/>
    </row>
    <row r="63" spans="2:11">
      <c r="B63" s="3"/>
      <c r="C63" s="2"/>
      <c r="D63" s="3"/>
      <c r="E63" s="2"/>
      <c r="F63" s="2"/>
      <c r="G63" s="2"/>
      <c r="H63" s="1"/>
      <c r="I63" s="1"/>
      <c r="J63" s="5"/>
      <c r="K63" s="4"/>
    </row>
    <row r="64" spans="2:11">
      <c r="B64" s="3"/>
      <c r="C64" s="2"/>
      <c r="D64" s="3"/>
      <c r="E64" s="2"/>
      <c r="F64" s="2"/>
      <c r="G64" s="2"/>
      <c r="H64" s="1"/>
      <c r="I64" s="1"/>
      <c r="J64" s="5"/>
      <c r="K64" s="4"/>
    </row>
    <row r="65" spans="2:9">
      <c r="B65" s="3"/>
      <c r="C65" s="2"/>
      <c r="D65" s="3"/>
      <c r="E65" s="2"/>
      <c r="F65" s="2"/>
      <c r="G65" s="2"/>
      <c r="H65" s="1"/>
      <c r="I65" s="1"/>
    </row>
    <row r="66" spans="2:9">
      <c r="B66" s="3"/>
      <c r="C66" s="2"/>
      <c r="D66" s="3"/>
      <c r="E66" s="2"/>
      <c r="F66" s="2"/>
      <c r="G66" s="2"/>
      <c r="H66" s="1"/>
      <c r="I66" s="1"/>
    </row>
    <row r="67" spans="2:9">
      <c r="B67" s="3"/>
      <c r="C67" s="2"/>
      <c r="D67" s="3"/>
      <c r="E67" s="2"/>
      <c r="F67" s="2"/>
      <c r="G67" s="2"/>
      <c r="H67" s="1"/>
      <c r="I67"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BCCB0-D320-49AD-A881-40B1FB30A17F}">
  <dimension ref="B4:L67"/>
  <sheetViews>
    <sheetView zoomScale="69" workbookViewId="0">
      <selection activeCell="I13" sqref="I13"/>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 min="10" max="10" width="28.5703125" customWidth="1"/>
    <col min="11" max="11" width="29" customWidth="1"/>
  </cols>
  <sheetData>
    <row r="4" spans="2:12" ht="15.75">
      <c r="B4" s="10"/>
    </row>
    <row r="5" spans="2:12" ht="15.75" thickBot="1"/>
    <row r="6" spans="2:12" ht="18.75" thickBot="1">
      <c r="B6" s="30" t="s">
        <v>119</v>
      </c>
      <c r="C6" s="29" t="s">
        <v>36</v>
      </c>
      <c r="D6" s="26" t="s">
        <v>120</v>
      </c>
      <c r="E6" s="30" t="s">
        <v>121</v>
      </c>
      <c r="F6" s="30" t="s">
        <v>122</v>
      </c>
      <c r="G6" s="29" t="s">
        <v>123</v>
      </c>
      <c r="H6" s="28" t="s">
        <v>124</v>
      </c>
    </row>
    <row r="7" spans="2:12" ht="29.45" customHeight="1">
      <c r="B7" s="124" t="s">
        <v>190</v>
      </c>
      <c r="C7" s="122" t="s">
        <v>126</v>
      </c>
      <c r="D7" s="126" t="s">
        <v>126</v>
      </c>
      <c r="E7" s="128" t="s">
        <v>126</v>
      </c>
      <c r="F7" s="128" t="s">
        <v>162</v>
      </c>
      <c r="G7" s="121" t="s">
        <v>126</v>
      </c>
      <c r="H7" s="121" t="s">
        <v>140</v>
      </c>
    </row>
    <row r="8" spans="2:12" ht="37.5" customHeight="1">
      <c r="B8" s="124"/>
      <c r="C8" s="122"/>
      <c r="D8" s="126"/>
      <c r="E8" s="124"/>
      <c r="F8" s="124"/>
      <c r="G8" s="122"/>
      <c r="H8" s="122"/>
    </row>
    <row r="9" spans="2:12" ht="15.75" thickBot="1">
      <c r="B9" s="125"/>
      <c r="C9" s="123"/>
      <c r="D9" s="127"/>
      <c r="E9" s="125"/>
      <c r="F9" s="125"/>
      <c r="G9" s="123"/>
      <c r="H9" s="123"/>
    </row>
    <row r="10" spans="2:12">
      <c r="E10" s="3"/>
      <c r="F10" s="3"/>
      <c r="G10" s="3"/>
      <c r="H10" s="3"/>
      <c r="I10" s="3"/>
    </row>
    <row r="13" spans="2:12" ht="15.75" thickBot="1"/>
    <row r="14" spans="2:12" ht="15.75" thickBot="1">
      <c r="B14" s="27" t="s">
        <v>129</v>
      </c>
      <c r="C14" s="26" t="s">
        <v>130</v>
      </c>
      <c r="D14" s="26" t="s">
        <v>131</v>
      </c>
      <c r="E14" s="26" t="s">
        <v>2</v>
      </c>
      <c r="F14" s="26" t="s">
        <v>133</v>
      </c>
      <c r="G14" s="26" t="s">
        <v>134</v>
      </c>
      <c r="H14" s="110" t="s">
        <v>191</v>
      </c>
      <c r="I14" s="25" t="s">
        <v>188</v>
      </c>
      <c r="K14" s="24" t="s">
        <v>135</v>
      </c>
      <c r="L14" s="23">
        <f>(6.14+5.59)/2</f>
        <v>5.8650000000000002</v>
      </c>
    </row>
    <row r="15" spans="2:12" ht="15.75" thickBot="1">
      <c r="B15" s="16">
        <v>0</v>
      </c>
      <c r="C15" s="2">
        <v>5</v>
      </c>
      <c r="D15" s="3">
        <v>25</v>
      </c>
      <c r="E15" s="2">
        <v>8051.5</v>
      </c>
      <c r="F15" s="2">
        <f>(E15+354.25)/178.72</f>
        <v>47.033068487018802</v>
      </c>
      <c r="G15" s="2">
        <f>($F$15-F15)/$F$15*100</f>
        <v>0</v>
      </c>
      <c r="H15" s="102">
        <f>($E$15-E15)/$E$15*100</f>
        <v>0</v>
      </c>
      <c r="I15" s="106">
        <f>-LN(F15/$F$15)</f>
        <v>0</v>
      </c>
      <c r="K15" s="22" t="s">
        <v>136</v>
      </c>
      <c r="L15" s="21">
        <f>(4.53+4.45)/2</f>
        <v>4.49</v>
      </c>
    </row>
    <row r="16" spans="2:12" ht="15.75" thickBot="1">
      <c r="B16" s="16">
        <v>5</v>
      </c>
      <c r="C16" s="2">
        <v>5</v>
      </c>
      <c r="D16" s="3">
        <v>25</v>
      </c>
      <c r="E16" s="2">
        <v>7652.7</v>
      </c>
      <c r="F16" s="2">
        <f t="shared" ref="F16:F25" si="0">(E16+354.25)/178.72</f>
        <v>44.801645031333926</v>
      </c>
      <c r="G16" s="2">
        <f t="shared" ref="G16:G25" si="1">($F$15-F16)/$F$15*100</f>
        <v>4.7443714124260303</v>
      </c>
      <c r="H16" s="102">
        <f t="shared" ref="H16:H25" si="2">($E$15-E16)/$E$15*100</f>
        <v>4.9531143265230098</v>
      </c>
      <c r="I16" s="106">
        <f t="shared" ref="I16:I25" si="3">-LN(F16/$F$15)</f>
        <v>4.8606080944261915E-2</v>
      </c>
    </row>
    <row r="17" spans="2:12">
      <c r="B17" s="16">
        <v>15</v>
      </c>
      <c r="C17" s="2">
        <v>5</v>
      </c>
      <c r="D17" s="3">
        <v>25</v>
      </c>
      <c r="E17" s="2">
        <v>6816.9</v>
      </c>
      <c r="F17" s="2">
        <f t="shared" si="0"/>
        <v>40.125055953446733</v>
      </c>
      <c r="G17" s="2">
        <f t="shared" si="1"/>
        <v>14.687565059631801</v>
      </c>
      <c r="H17" s="102">
        <f t="shared" si="2"/>
        <v>15.333788735018326</v>
      </c>
      <c r="I17" s="106">
        <f t="shared" si="3"/>
        <v>0.158849963212846</v>
      </c>
      <c r="K17" s="20" t="s">
        <v>137</v>
      </c>
      <c r="L17" s="19">
        <f>(2.454+2.461)/2</f>
        <v>2.4575</v>
      </c>
    </row>
    <row r="18" spans="2:12" ht="15.75" thickBot="1">
      <c r="B18" s="16">
        <v>30</v>
      </c>
      <c r="C18" s="2">
        <v>5.0999999999999996</v>
      </c>
      <c r="D18" s="3">
        <v>25</v>
      </c>
      <c r="E18" s="2">
        <v>6573.6</v>
      </c>
      <c r="F18" s="2">
        <f t="shared" si="0"/>
        <v>38.763708594449419</v>
      </c>
      <c r="G18" s="2">
        <f>($F$15-F18)/$F$15*100</f>
        <v>17.582012313000032</v>
      </c>
      <c r="H18" s="102">
        <f t="shared" si="2"/>
        <v>18.355585915667881</v>
      </c>
      <c r="I18" s="106">
        <f t="shared" si="3"/>
        <v>0.19336647572369633</v>
      </c>
      <c r="K18" s="18" t="s">
        <v>138</v>
      </c>
      <c r="L18" s="44">
        <f>(2.442+2.437)/2</f>
        <v>2.4394999999999998</v>
      </c>
    </row>
    <row r="19" spans="2:12">
      <c r="B19" s="16">
        <v>60</v>
      </c>
      <c r="C19" s="2">
        <v>5.2</v>
      </c>
      <c r="D19" s="3">
        <v>25</v>
      </c>
      <c r="E19" s="2">
        <v>5398</v>
      </c>
      <c r="F19" s="2">
        <f t="shared" si="0"/>
        <v>32.18582139659803</v>
      </c>
      <c r="G19" s="2">
        <f t="shared" si="1"/>
        <v>31.567676887844637</v>
      </c>
      <c r="H19" s="102">
        <f t="shared" si="2"/>
        <v>32.956591939390179</v>
      </c>
      <c r="I19" s="106">
        <f t="shared" si="3"/>
        <v>0.37932491286172537</v>
      </c>
    </row>
    <row r="20" spans="2:12">
      <c r="B20" s="16">
        <v>90</v>
      </c>
      <c r="C20" s="2">
        <v>5.0999999999999996</v>
      </c>
      <c r="D20" s="3">
        <v>25</v>
      </c>
      <c r="E20" s="2">
        <v>4779.3999999999996</v>
      </c>
      <c r="F20" s="2">
        <f t="shared" si="0"/>
        <v>28.724541181736793</v>
      </c>
      <c r="G20" s="2">
        <f t="shared" si="1"/>
        <v>38.926925021562624</v>
      </c>
      <c r="H20" s="102">
        <f t="shared" si="2"/>
        <v>40.639632366639759</v>
      </c>
      <c r="I20" s="106">
        <f t="shared" si="3"/>
        <v>0.49309908831871413</v>
      </c>
    </row>
    <row r="21" spans="2:12">
      <c r="B21" s="16">
        <v>120</v>
      </c>
      <c r="C21" s="2">
        <v>5.0999999999999996</v>
      </c>
      <c r="D21" s="3">
        <v>25</v>
      </c>
      <c r="E21" s="2">
        <v>3703.1</v>
      </c>
      <c r="F21" s="2">
        <f t="shared" si="0"/>
        <v>22.702271709937332</v>
      </c>
      <c r="G21" s="2">
        <f t="shared" si="1"/>
        <v>51.731255390655207</v>
      </c>
      <c r="H21" s="102">
        <f t="shared" si="2"/>
        <v>54.00732782711296</v>
      </c>
      <c r="I21" s="106">
        <f t="shared" si="3"/>
        <v>0.72838594433268578</v>
      </c>
    </row>
    <row r="22" spans="2:12">
      <c r="B22" s="16">
        <v>150</v>
      </c>
      <c r="C22" s="2">
        <v>5.0999999999999996</v>
      </c>
      <c r="D22" s="3">
        <v>25</v>
      </c>
      <c r="E22" s="2">
        <v>2904.8</v>
      </c>
      <c r="F22" s="2">
        <f t="shared" si="0"/>
        <v>18.235508057296329</v>
      </c>
      <c r="G22" s="2">
        <f t="shared" si="1"/>
        <v>61.228325848377594</v>
      </c>
      <c r="H22" s="102">
        <f t="shared" si="2"/>
        <v>63.922250512326897</v>
      </c>
      <c r="I22" s="106">
        <f t="shared" si="3"/>
        <v>0.94748025361200772</v>
      </c>
    </row>
    <row r="23" spans="2:12">
      <c r="B23" s="16">
        <v>180</v>
      </c>
      <c r="C23" s="2">
        <v>5.0999999999999996</v>
      </c>
      <c r="D23" s="3">
        <v>25</v>
      </c>
      <c r="E23" s="2">
        <v>2384.4</v>
      </c>
      <c r="F23" s="2">
        <f t="shared" si="0"/>
        <v>15.323690689346464</v>
      </c>
      <c r="G23" s="2">
        <f t="shared" si="1"/>
        <v>67.419326056568423</v>
      </c>
      <c r="H23" s="102">
        <f t="shared" si="2"/>
        <v>70.385642426876984</v>
      </c>
      <c r="I23" s="106">
        <f t="shared" si="3"/>
        <v>1.1214508972260664</v>
      </c>
    </row>
    <row r="24" spans="2:12">
      <c r="B24" s="16">
        <v>240</v>
      </c>
      <c r="C24" s="2">
        <v>5.0999999999999996</v>
      </c>
      <c r="D24" s="3">
        <v>25</v>
      </c>
      <c r="E24" s="2">
        <v>1516</v>
      </c>
      <c r="F24" s="2">
        <f t="shared" si="0"/>
        <v>10.464693375111906</v>
      </c>
      <c r="G24" s="2">
        <f t="shared" si="1"/>
        <v>77.750349463165108</v>
      </c>
      <c r="H24" s="102">
        <f t="shared" si="2"/>
        <v>81.171210333478243</v>
      </c>
      <c r="I24" s="106">
        <f t="shared" si="3"/>
        <v>1.5028438837088531</v>
      </c>
    </row>
    <row r="25" spans="2:12" ht="15.75" thickBot="1">
      <c r="B25" s="14">
        <v>300</v>
      </c>
      <c r="C25" s="12">
        <v>5.0999999999999996</v>
      </c>
      <c r="D25" s="13">
        <v>25</v>
      </c>
      <c r="E25" s="12">
        <v>1041.4000000000001</v>
      </c>
      <c r="F25" s="12">
        <f t="shared" si="0"/>
        <v>7.8091427931960613</v>
      </c>
      <c r="G25" s="12">
        <f t="shared" si="1"/>
        <v>83.396484549266873</v>
      </c>
      <c r="H25" s="111">
        <f t="shared" si="2"/>
        <v>87.065764143327343</v>
      </c>
      <c r="I25" s="21">
        <f t="shared" si="3"/>
        <v>1.7955557389060217</v>
      </c>
    </row>
    <row r="27" spans="2:12" ht="15.75">
      <c r="B27" s="10"/>
    </row>
    <row r="29" spans="2:12">
      <c r="B29" s="8"/>
      <c r="C29" s="8"/>
      <c r="D29" s="9"/>
      <c r="E29" s="8"/>
      <c r="F29" s="8"/>
      <c r="G29" s="8"/>
      <c r="H29" s="8"/>
    </row>
    <row r="30" spans="2:12" ht="14.45" customHeight="1">
      <c r="B30" s="7"/>
      <c r="C30" s="7"/>
      <c r="D30" s="7"/>
      <c r="E30" s="7"/>
      <c r="F30" s="7"/>
      <c r="G30" s="7"/>
      <c r="H30" s="7"/>
    </row>
    <row r="31" spans="2:12">
      <c r="B31" s="7"/>
      <c r="C31" s="7"/>
      <c r="D31" s="7"/>
      <c r="E31" s="7"/>
      <c r="F31" s="7"/>
      <c r="G31" s="7"/>
      <c r="H31" s="7"/>
    </row>
    <row r="32" spans="2:12" ht="34.5" customHeight="1">
      <c r="B32" s="7"/>
      <c r="C32" s="7"/>
      <c r="D32" s="7"/>
      <c r="E32" s="7"/>
      <c r="F32" s="7"/>
      <c r="G32" s="7"/>
      <c r="H32" s="7"/>
    </row>
    <row r="37" spans="2:10">
      <c r="B37" s="6"/>
      <c r="C37" s="6"/>
      <c r="D37" s="6"/>
      <c r="E37" s="6"/>
      <c r="F37" s="6"/>
      <c r="G37" s="6"/>
      <c r="I37" s="6"/>
      <c r="J37" s="3"/>
    </row>
    <row r="38" spans="2:10">
      <c r="B38" s="3"/>
      <c r="C38" s="2"/>
      <c r="D38" s="3"/>
      <c r="E38" s="2"/>
      <c r="F38" s="2"/>
      <c r="G38" s="2"/>
      <c r="I38" s="6"/>
      <c r="J38" s="3"/>
    </row>
    <row r="39" spans="2:10">
      <c r="B39" s="3"/>
      <c r="C39" s="2"/>
      <c r="D39" s="3"/>
      <c r="E39" s="2"/>
      <c r="F39" s="2"/>
      <c r="G39" s="2"/>
    </row>
    <row r="40" spans="2:10">
      <c r="B40" s="3"/>
      <c r="C40" s="2"/>
      <c r="D40" s="3"/>
      <c r="E40" s="2"/>
      <c r="F40" s="2"/>
      <c r="G40" s="2"/>
      <c r="I40" s="5"/>
      <c r="J40" s="4"/>
    </row>
    <row r="41" spans="2:10">
      <c r="B41" s="3"/>
      <c r="C41" s="2"/>
      <c r="D41" s="3"/>
      <c r="E41" s="2"/>
      <c r="F41" s="2"/>
      <c r="G41" s="2"/>
      <c r="I41" s="5"/>
      <c r="J41" s="4"/>
    </row>
    <row r="42" spans="2:10">
      <c r="B42" s="3"/>
      <c r="C42" s="2"/>
      <c r="D42" s="3"/>
      <c r="E42" s="2"/>
      <c r="F42" s="2"/>
      <c r="G42" s="2"/>
    </row>
    <row r="43" spans="2:10">
      <c r="B43" s="3"/>
      <c r="C43" s="2"/>
      <c r="D43" s="3"/>
      <c r="E43" s="2"/>
      <c r="F43" s="2"/>
      <c r="G43" s="2"/>
    </row>
    <row r="44" spans="2:10">
      <c r="B44" s="3"/>
      <c r="C44" s="2"/>
      <c r="D44" s="3"/>
      <c r="E44" s="2"/>
      <c r="F44" s="2"/>
      <c r="G44" s="2"/>
    </row>
    <row r="50" spans="2:10" ht="15.75">
      <c r="B50" s="10"/>
    </row>
    <row r="52" spans="2:10">
      <c r="B52" s="8"/>
      <c r="C52" s="8"/>
      <c r="D52" s="9"/>
      <c r="E52" s="8"/>
      <c r="F52" s="8"/>
      <c r="G52" s="8"/>
      <c r="H52" s="8"/>
    </row>
    <row r="53" spans="2:10" ht="14.45" customHeight="1">
      <c r="B53" s="7"/>
      <c r="C53" s="7"/>
      <c r="D53" s="7"/>
      <c r="E53" s="7"/>
      <c r="F53" s="7"/>
      <c r="G53" s="7"/>
      <c r="H53" s="7"/>
    </row>
    <row r="54" spans="2:10">
      <c r="B54" s="7"/>
      <c r="C54" s="7"/>
      <c r="D54" s="7"/>
      <c r="E54" s="7"/>
      <c r="F54" s="7"/>
      <c r="G54" s="7"/>
      <c r="H54" s="7"/>
    </row>
    <row r="55" spans="2:10" ht="26.1" customHeight="1">
      <c r="B55" s="7"/>
      <c r="C55" s="7"/>
      <c r="D55" s="7"/>
      <c r="E55" s="7"/>
      <c r="F55" s="7"/>
      <c r="G55" s="7"/>
      <c r="H55" s="7"/>
    </row>
    <row r="60" spans="2:10">
      <c r="B60" s="6"/>
      <c r="C60" s="6"/>
      <c r="D60" s="6"/>
      <c r="E60" s="6"/>
      <c r="F60" s="6"/>
      <c r="G60" s="6"/>
      <c r="I60" s="6"/>
      <c r="J60" s="3"/>
    </row>
    <row r="61" spans="2:10">
      <c r="B61" s="3"/>
      <c r="C61" s="2"/>
      <c r="D61" s="3"/>
      <c r="E61" s="2"/>
      <c r="F61" s="2"/>
      <c r="G61" s="2"/>
      <c r="H61" s="1"/>
      <c r="I61" s="6"/>
      <c r="J61" s="3"/>
    </row>
    <row r="62" spans="2:10">
      <c r="B62" s="3"/>
      <c r="C62" s="2"/>
      <c r="D62" s="3"/>
      <c r="E62" s="2"/>
      <c r="F62" s="2"/>
      <c r="G62" s="2"/>
      <c r="H62" s="1"/>
    </row>
    <row r="63" spans="2:10">
      <c r="B63" s="3"/>
      <c r="C63" s="2"/>
      <c r="D63" s="3"/>
      <c r="E63" s="2"/>
      <c r="F63" s="2"/>
      <c r="G63" s="2"/>
      <c r="H63" s="1"/>
      <c r="I63" s="5"/>
      <c r="J63" s="4"/>
    </row>
    <row r="64" spans="2:10">
      <c r="B64" s="3"/>
      <c r="C64" s="2"/>
      <c r="D64" s="3"/>
      <c r="E64" s="2"/>
      <c r="F64" s="2"/>
      <c r="G64" s="2"/>
      <c r="H64" s="1"/>
      <c r="I64" s="5"/>
      <c r="J64" s="4"/>
    </row>
    <row r="65" spans="2:8">
      <c r="B65" s="3"/>
      <c r="C65" s="2"/>
      <c r="D65" s="3"/>
      <c r="E65" s="2"/>
      <c r="F65" s="2"/>
      <c r="G65" s="2"/>
      <c r="H65" s="1"/>
    </row>
    <row r="66" spans="2:8">
      <c r="B66" s="3"/>
      <c r="C66" s="2"/>
      <c r="D66" s="3"/>
      <c r="E66" s="2"/>
      <c r="F66" s="2"/>
      <c r="G66" s="2"/>
      <c r="H66" s="1"/>
    </row>
    <row r="67" spans="2:8">
      <c r="B67" s="3"/>
      <c r="C67" s="2"/>
      <c r="D67" s="3"/>
      <c r="E67" s="2"/>
      <c r="F67" s="2"/>
      <c r="G67" s="2"/>
      <c r="H67"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E1C6F-B452-4359-A071-7C8695A1B16E}">
  <dimension ref="B4:L67"/>
  <sheetViews>
    <sheetView topLeftCell="A4" zoomScale="72" workbookViewId="0">
      <selection activeCell="C12" sqref="C12"/>
    </sheetView>
  </sheetViews>
  <sheetFormatPr defaultColWidth="11.42578125" defaultRowHeight="15"/>
  <cols>
    <col min="2" max="2" width="23.42578125" customWidth="1"/>
    <col min="3" max="3" width="20.5703125" customWidth="1"/>
    <col min="4" max="4" width="19.140625" customWidth="1"/>
    <col min="5" max="5" width="22.42578125" customWidth="1"/>
    <col min="6" max="6" width="25.140625" customWidth="1"/>
    <col min="7" max="7" width="18.42578125" customWidth="1"/>
    <col min="8" max="8" width="18.140625" customWidth="1"/>
    <col min="9" max="9" width="26.5703125" customWidth="1"/>
    <col min="10" max="10" width="28.5703125" customWidth="1"/>
    <col min="11" max="11" width="27.85546875" customWidth="1"/>
  </cols>
  <sheetData>
    <row r="4" spans="2:12" ht="15.75">
      <c r="B4" s="10"/>
    </row>
    <row r="5" spans="2:12" ht="15.75" thickBot="1"/>
    <row r="6" spans="2:12" ht="18.75" thickBot="1">
      <c r="B6" s="30" t="s">
        <v>119</v>
      </c>
      <c r="C6" s="29" t="s">
        <v>36</v>
      </c>
      <c r="D6" s="26" t="s">
        <v>120</v>
      </c>
      <c r="E6" s="30" t="s">
        <v>121</v>
      </c>
      <c r="F6" s="30" t="s">
        <v>122</v>
      </c>
      <c r="G6" s="29" t="s">
        <v>123</v>
      </c>
      <c r="H6" s="28" t="s">
        <v>124</v>
      </c>
    </row>
    <row r="7" spans="2:12" ht="29.45" customHeight="1">
      <c r="B7" s="124" t="s">
        <v>190</v>
      </c>
      <c r="C7" s="122" t="s">
        <v>192</v>
      </c>
      <c r="D7" s="126" t="s">
        <v>126</v>
      </c>
      <c r="E7" s="128" t="s">
        <v>126</v>
      </c>
      <c r="F7" s="128" t="s">
        <v>162</v>
      </c>
      <c r="G7" s="121" t="s">
        <v>151</v>
      </c>
      <c r="H7" s="121" t="s">
        <v>140</v>
      </c>
    </row>
    <row r="8" spans="2:12" ht="37.5" customHeight="1">
      <c r="B8" s="124"/>
      <c r="C8" s="122"/>
      <c r="D8" s="126"/>
      <c r="E8" s="124"/>
      <c r="F8" s="124"/>
      <c r="G8" s="122"/>
      <c r="H8" s="122"/>
    </row>
    <row r="9" spans="2:12" ht="15.75" thickBot="1">
      <c r="B9" s="125"/>
      <c r="C9" s="123"/>
      <c r="D9" s="127"/>
      <c r="E9" s="125"/>
      <c r="F9" s="125"/>
      <c r="G9" s="123"/>
      <c r="H9" s="123"/>
    </row>
    <row r="10" spans="2:12">
      <c r="E10" s="3"/>
      <c r="F10" s="3"/>
      <c r="G10" s="3"/>
      <c r="H10" s="3"/>
      <c r="I10" s="3"/>
    </row>
    <row r="13" spans="2:12" ht="15.75" thickBot="1"/>
    <row r="14" spans="2:12" ht="15.75" thickBot="1">
      <c r="B14" s="27" t="s">
        <v>129</v>
      </c>
      <c r="C14" s="26" t="s">
        <v>130</v>
      </c>
      <c r="D14" s="26" t="s">
        <v>131</v>
      </c>
      <c r="E14" s="26" t="s">
        <v>2</v>
      </c>
      <c r="F14" s="26" t="s">
        <v>133</v>
      </c>
      <c r="G14" s="26" t="s">
        <v>134</v>
      </c>
      <c r="H14" s="110" t="s">
        <v>191</v>
      </c>
      <c r="I14" s="25" t="s">
        <v>168</v>
      </c>
      <c r="K14" s="24" t="s">
        <v>135</v>
      </c>
      <c r="L14" s="33">
        <f>(6.31+6.28)/2</f>
        <v>6.2949999999999999</v>
      </c>
    </row>
    <row r="15" spans="2:12" ht="15.75" thickBot="1">
      <c r="B15" s="16">
        <v>0</v>
      </c>
      <c r="C15" s="2">
        <v>5.2</v>
      </c>
      <c r="D15" s="3">
        <v>25</v>
      </c>
      <c r="E15" s="2">
        <v>1469.1</v>
      </c>
      <c r="F15" s="2">
        <f>(E15-0.128)/33.778</f>
        <v>43.489016519628159</v>
      </c>
      <c r="G15" s="2">
        <f t="shared" ref="G15:G25" si="0">($F$15-F15)/$F$15*100</f>
        <v>0</v>
      </c>
      <c r="H15" s="102">
        <f>($E$15-E15)/$E$15*100</f>
        <v>0</v>
      </c>
      <c r="I15" s="106">
        <f>-LN(F15/$F$15)</f>
        <v>0</v>
      </c>
      <c r="K15" s="22" t="s">
        <v>136</v>
      </c>
      <c r="L15" s="21">
        <f>(3.56+3.54)/2</f>
        <v>3.55</v>
      </c>
    </row>
    <row r="16" spans="2:12" ht="15.75" thickBot="1">
      <c r="B16" s="16">
        <v>5</v>
      </c>
      <c r="C16" s="2">
        <v>5.2</v>
      </c>
      <c r="D16" s="3">
        <v>25</v>
      </c>
      <c r="E16" s="2">
        <v>1356.1</v>
      </c>
      <c r="F16" s="2">
        <f t="shared" ref="F16:F25" si="1">(E16-0.128)/33.778</f>
        <v>40.143643791817162</v>
      </c>
      <c r="G16" s="2">
        <f t="shared" si="0"/>
        <v>7.6924543149903366</v>
      </c>
      <c r="H16" s="102">
        <f t="shared" ref="H16:H25" si="2">($E$15-E16)/$E$15*100</f>
        <v>7.691784085494521</v>
      </c>
      <c r="I16" s="106">
        <f t="shared" ref="I16:I25" si="3">-LN(F16/$F$15)</f>
        <v>8.0044296087193281E-2</v>
      </c>
    </row>
    <row r="17" spans="2:12">
      <c r="B17" s="16">
        <v>15</v>
      </c>
      <c r="C17" s="2">
        <v>5.2</v>
      </c>
      <c r="D17" s="3">
        <v>25</v>
      </c>
      <c r="E17" s="2">
        <v>1215.4000000000001</v>
      </c>
      <c r="F17" s="2">
        <f t="shared" si="1"/>
        <v>35.978210669666652</v>
      </c>
      <c r="G17" s="2">
        <f t="shared" si="0"/>
        <v>17.270581059407515</v>
      </c>
      <c r="H17" s="102">
        <f t="shared" si="2"/>
        <v>17.269076305220874</v>
      </c>
      <c r="I17" s="106">
        <f t="shared" si="3"/>
        <v>0.18959491637415507</v>
      </c>
      <c r="K17" s="20" t="s">
        <v>137</v>
      </c>
      <c r="L17" s="48">
        <f>(2.273+2.276)/2</f>
        <v>2.2744999999999997</v>
      </c>
    </row>
    <row r="18" spans="2:12" ht="15.75" thickBot="1">
      <c r="B18" s="16">
        <v>30</v>
      </c>
      <c r="C18" s="2">
        <v>5.2</v>
      </c>
      <c r="D18" s="3">
        <v>25</v>
      </c>
      <c r="E18" s="2">
        <v>963.4</v>
      </c>
      <c r="F18" s="2">
        <f t="shared" si="1"/>
        <v>28.517733435964235</v>
      </c>
      <c r="G18" s="2">
        <f t="shared" si="0"/>
        <v>34.42543493000548</v>
      </c>
      <c r="H18" s="102">
        <f t="shared" si="2"/>
        <v>34.422435504730785</v>
      </c>
      <c r="I18" s="106">
        <f t="shared" si="3"/>
        <v>0.42198229281537247</v>
      </c>
      <c r="K18" s="18" t="s">
        <v>138</v>
      </c>
      <c r="L18" s="44">
        <f>(2.31+2.311)/2</f>
        <v>2.3105000000000002</v>
      </c>
    </row>
    <row r="19" spans="2:12">
      <c r="B19" s="16">
        <v>60</v>
      </c>
      <c r="C19" s="2">
        <v>5.2</v>
      </c>
      <c r="D19" s="3">
        <v>25</v>
      </c>
      <c r="E19" s="2">
        <v>676.9</v>
      </c>
      <c r="F19" s="2">
        <f t="shared" si="1"/>
        <v>20.035881342885901</v>
      </c>
      <c r="G19" s="2">
        <f t="shared" si="0"/>
        <v>53.928869985268612</v>
      </c>
      <c r="H19" s="102">
        <f t="shared" si="2"/>
        <v>53.924171261316459</v>
      </c>
      <c r="I19" s="106">
        <f t="shared" si="3"/>
        <v>0.7749836791289787</v>
      </c>
    </row>
    <row r="20" spans="2:12">
      <c r="B20" s="16">
        <v>90</v>
      </c>
      <c r="C20" s="2">
        <v>5.0999999999999996</v>
      </c>
      <c r="D20" s="3">
        <v>25</v>
      </c>
      <c r="E20" s="2">
        <v>577.1</v>
      </c>
      <c r="F20" s="2">
        <f t="shared" si="1"/>
        <v>17.081295517792647</v>
      </c>
      <c r="G20" s="2">
        <f t="shared" si="0"/>
        <v>60.722736716560966</v>
      </c>
      <c r="H20" s="102">
        <f t="shared" si="2"/>
        <v>60.717446055408061</v>
      </c>
      <c r="I20" s="106">
        <f t="shared" si="3"/>
        <v>0.9345243769392414</v>
      </c>
    </row>
    <row r="21" spans="2:12">
      <c r="B21" s="16">
        <v>120</v>
      </c>
      <c r="C21" s="2">
        <v>5.2</v>
      </c>
      <c r="D21" s="3">
        <v>25</v>
      </c>
      <c r="E21" s="2">
        <v>471.8</v>
      </c>
      <c r="F21" s="2">
        <f t="shared" si="1"/>
        <v>13.963881816566998</v>
      </c>
      <c r="G21" s="2">
        <f t="shared" si="0"/>
        <v>67.891014941060817</v>
      </c>
      <c r="H21" s="102">
        <f t="shared" si="2"/>
        <v>67.88509972091758</v>
      </c>
      <c r="I21" s="106">
        <f t="shared" si="3"/>
        <v>1.1360342866409949</v>
      </c>
    </row>
    <row r="22" spans="2:12">
      <c r="B22" s="16">
        <v>150</v>
      </c>
      <c r="C22" s="2">
        <v>5.3</v>
      </c>
      <c r="D22" s="3">
        <v>25</v>
      </c>
      <c r="E22" s="2">
        <v>330.6</v>
      </c>
      <c r="F22" s="2">
        <f t="shared" si="1"/>
        <v>9.7836461602226308</v>
      </c>
      <c r="G22" s="2">
        <f t="shared" si="0"/>
        <v>77.503179093951417</v>
      </c>
      <c r="H22" s="102">
        <f t="shared" si="2"/>
        <v>77.496426383500108</v>
      </c>
      <c r="I22" s="106">
        <f t="shared" si="3"/>
        <v>1.4917961798250297</v>
      </c>
    </row>
    <row r="23" spans="2:12">
      <c r="B23" s="16">
        <v>190</v>
      </c>
      <c r="C23" s="2">
        <v>5.3</v>
      </c>
      <c r="D23" s="3">
        <v>25</v>
      </c>
      <c r="E23" s="2">
        <v>197.6</v>
      </c>
      <c r="F23" s="2">
        <f t="shared" si="1"/>
        <v>5.8461720646574697</v>
      </c>
      <c r="G23" s="2">
        <f t="shared" si="0"/>
        <v>86.557129747878108</v>
      </c>
      <c r="H23" s="102">
        <f t="shared" si="2"/>
        <v>86.54958818324144</v>
      </c>
      <c r="I23" s="106">
        <f t="shared" si="3"/>
        <v>2.0067213132681334</v>
      </c>
    </row>
    <row r="24" spans="2:12">
      <c r="B24" s="16">
        <v>240</v>
      </c>
      <c r="C24" s="2">
        <v>5.4</v>
      </c>
      <c r="D24" s="3">
        <v>25</v>
      </c>
      <c r="E24" s="2">
        <v>109.7</v>
      </c>
      <c r="F24" s="2">
        <f t="shared" si="1"/>
        <v>3.2438865533779384</v>
      </c>
      <c r="G24" s="2">
        <f t="shared" si="0"/>
        <v>92.540906157503329</v>
      </c>
      <c r="H24" s="102">
        <f t="shared" si="2"/>
        <v>92.532843237356204</v>
      </c>
      <c r="I24" s="106">
        <f t="shared" si="3"/>
        <v>2.5957362479845862</v>
      </c>
    </row>
    <row r="25" spans="2:12" ht="15.75" thickBot="1">
      <c r="B25" s="14">
        <v>300</v>
      </c>
      <c r="C25" s="12">
        <v>5.3</v>
      </c>
      <c r="D25" s="13">
        <v>25</v>
      </c>
      <c r="E25" s="12">
        <v>61.7</v>
      </c>
      <c r="F25" s="12">
        <f t="shared" si="1"/>
        <v>1.8228432707679556</v>
      </c>
      <c r="G25" s="12">
        <f t="shared" si="0"/>
        <v>95.808497370950576</v>
      </c>
      <c r="H25" s="111">
        <f t="shared" si="2"/>
        <v>95.800149751548574</v>
      </c>
      <c r="I25" s="21">
        <f t="shared" si="3"/>
        <v>3.1721108936589615</v>
      </c>
    </row>
    <row r="27" spans="2:12" ht="15.75">
      <c r="B27" s="10"/>
    </row>
    <row r="29" spans="2:12">
      <c r="B29" s="8"/>
      <c r="C29" s="8"/>
      <c r="D29" s="9"/>
      <c r="E29" s="8"/>
      <c r="F29" s="8"/>
      <c r="G29" s="8"/>
      <c r="H29" s="8"/>
    </row>
    <row r="30" spans="2:12" ht="14.45" customHeight="1">
      <c r="B30" s="7"/>
      <c r="C30" s="7"/>
      <c r="D30" s="7"/>
      <c r="E30" s="7"/>
      <c r="F30" s="7"/>
      <c r="G30" s="7"/>
      <c r="H30" s="7"/>
    </row>
    <row r="31" spans="2:12">
      <c r="B31" s="7"/>
      <c r="C31" s="7"/>
      <c r="D31" s="7"/>
      <c r="E31" s="7"/>
      <c r="F31" s="7"/>
      <c r="G31" s="7"/>
      <c r="H31" s="7"/>
    </row>
    <row r="32" spans="2:12" ht="34.5" customHeight="1">
      <c r="B32" s="7"/>
      <c r="C32" s="7"/>
      <c r="D32" s="7"/>
      <c r="E32" s="7"/>
      <c r="F32" s="7"/>
      <c r="G32" s="7"/>
      <c r="H32" s="7"/>
    </row>
    <row r="37" spans="2:10">
      <c r="B37" s="6"/>
      <c r="C37" s="6"/>
      <c r="D37" s="6"/>
      <c r="E37" s="6"/>
      <c r="F37" s="6"/>
      <c r="G37" s="6"/>
      <c r="I37" s="6"/>
      <c r="J37" s="3"/>
    </row>
    <row r="38" spans="2:10">
      <c r="B38" s="3"/>
      <c r="C38" s="2"/>
      <c r="D38" s="3"/>
      <c r="E38" s="2"/>
      <c r="F38" s="2"/>
      <c r="G38" s="2"/>
      <c r="I38" s="6"/>
      <c r="J38" s="3"/>
    </row>
    <row r="39" spans="2:10">
      <c r="B39" s="3"/>
      <c r="C39" s="2"/>
      <c r="D39" s="3"/>
      <c r="E39" s="2"/>
      <c r="F39" s="2"/>
      <c r="G39" s="2"/>
    </row>
    <row r="40" spans="2:10">
      <c r="B40" s="3"/>
      <c r="C40" s="2"/>
      <c r="D40" s="3"/>
      <c r="E40" s="2"/>
      <c r="F40" s="2"/>
      <c r="G40" s="2"/>
      <c r="I40" s="5"/>
      <c r="J40" s="4"/>
    </row>
    <row r="41" spans="2:10">
      <c r="B41" s="3"/>
      <c r="C41" s="2"/>
      <c r="D41" s="3"/>
      <c r="E41" s="2"/>
      <c r="F41" s="2"/>
      <c r="G41" s="2"/>
      <c r="I41" s="5"/>
      <c r="J41" s="4"/>
    </row>
    <row r="42" spans="2:10">
      <c r="B42" s="3"/>
      <c r="C42" s="2"/>
      <c r="D42" s="3"/>
      <c r="E42" s="2"/>
      <c r="F42" s="2"/>
      <c r="G42" s="2"/>
    </row>
    <row r="43" spans="2:10">
      <c r="B43" s="3"/>
      <c r="C43" s="2"/>
      <c r="D43" s="3"/>
      <c r="E43" s="2"/>
      <c r="F43" s="2"/>
      <c r="G43" s="2"/>
    </row>
    <row r="44" spans="2:10">
      <c r="B44" s="3"/>
      <c r="C44" s="2"/>
      <c r="D44" s="3"/>
      <c r="E44" s="2"/>
      <c r="F44" s="2"/>
      <c r="G44" s="2"/>
    </row>
    <row r="50" spans="2:10" ht="15.75">
      <c r="B50" s="10"/>
    </row>
    <row r="52" spans="2:10">
      <c r="B52" s="8"/>
      <c r="C52" s="8"/>
      <c r="D52" s="9"/>
      <c r="E52" s="8"/>
      <c r="F52" s="8"/>
      <c r="G52" s="8"/>
      <c r="H52" s="8"/>
    </row>
    <row r="53" spans="2:10" ht="14.45" customHeight="1">
      <c r="B53" s="7"/>
      <c r="C53" s="7"/>
      <c r="D53" s="7"/>
      <c r="E53" s="7"/>
      <c r="F53" s="7"/>
      <c r="G53" s="7"/>
      <c r="H53" s="7"/>
    </row>
    <row r="54" spans="2:10">
      <c r="B54" s="7"/>
      <c r="C54" s="7"/>
      <c r="D54" s="7"/>
      <c r="E54" s="7"/>
      <c r="F54" s="7"/>
      <c r="G54" s="7"/>
      <c r="H54" s="7"/>
    </row>
    <row r="55" spans="2:10" ht="26.1" customHeight="1">
      <c r="B55" s="7"/>
      <c r="C55" s="7"/>
      <c r="D55" s="7"/>
      <c r="E55" s="7"/>
      <c r="F55" s="7"/>
      <c r="G55" s="7"/>
      <c r="H55" s="7"/>
    </row>
    <row r="60" spans="2:10">
      <c r="B60" s="6"/>
      <c r="C60" s="6"/>
      <c r="D60" s="6"/>
      <c r="E60" s="6"/>
      <c r="F60" s="6"/>
      <c r="G60" s="6"/>
      <c r="I60" s="6"/>
      <c r="J60" s="3"/>
    </row>
    <row r="61" spans="2:10">
      <c r="B61" s="3"/>
      <c r="C61" s="2"/>
      <c r="D61" s="3"/>
      <c r="E61" s="2"/>
      <c r="F61" s="2"/>
      <c r="G61" s="2"/>
      <c r="H61" s="1"/>
      <c r="I61" s="6"/>
      <c r="J61" s="3"/>
    </row>
    <row r="62" spans="2:10">
      <c r="B62" s="3"/>
      <c r="C62" s="2"/>
      <c r="D62" s="3"/>
      <c r="E62" s="2"/>
      <c r="F62" s="2"/>
      <c r="G62" s="2"/>
      <c r="H62" s="1"/>
    </row>
    <row r="63" spans="2:10">
      <c r="B63" s="3"/>
      <c r="C63" s="2"/>
      <c r="D63" s="3"/>
      <c r="E63" s="2"/>
      <c r="F63" s="2"/>
      <c r="G63" s="2"/>
      <c r="H63" s="1"/>
      <c r="I63" s="5"/>
      <c r="J63" s="4"/>
    </row>
    <row r="64" spans="2:10">
      <c r="B64" s="3"/>
      <c r="C64" s="2"/>
      <c r="D64" s="3"/>
      <c r="E64" s="2"/>
      <c r="F64" s="2"/>
      <c r="G64" s="2"/>
      <c r="H64" s="1"/>
      <c r="I64" s="5"/>
      <c r="J64" s="4"/>
    </row>
    <row r="65" spans="2:8">
      <c r="B65" s="3"/>
      <c r="C65" s="2"/>
      <c r="D65" s="3"/>
      <c r="E65" s="2"/>
      <c r="F65" s="2"/>
      <c r="G65" s="2"/>
      <c r="H65" s="1"/>
    </row>
    <row r="66" spans="2:8">
      <c r="B66" s="3"/>
      <c r="C66" s="2"/>
      <c r="D66" s="3"/>
      <c r="E66" s="2"/>
      <c r="F66" s="2"/>
      <c r="G66" s="2"/>
      <c r="H66" s="1"/>
    </row>
    <row r="67" spans="2:8">
      <c r="B67" s="3"/>
      <c r="C67" s="2"/>
      <c r="D67" s="3"/>
      <c r="E67" s="2"/>
      <c r="F67" s="2"/>
      <c r="G67" s="2"/>
      <c r="H67" s="1"/>
    </row>
  </sheetData>
  <mergeCells count="7">
    <mergeCell ref="H7:H9"/>
    <mergeCell ref="B7:B9"/>
    <mergeCell ref="C7:C9"/>
    <mergeCell ref="D7:D9"/>
    <mergeCell ref="E7:E9"/>
    <mergeCell ref="F7:F9"/>
    <mergeCell ref="G7:G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E7B6F-CB58-4D81-B46B-64E1B220941A}">
  <dimension ref="B2:L19"/>
  <sheetViews>
    <sheetView topLeftCell="E1" workbookViewId="0">
      <selection activeCell="F5" sqref="F5"/>
    </sheetView>
  </sheetViews>
  <sheetFormatPr defaultColWidth="11.42578125" defaultRowHeight="15"/>
  <cols>
    <col min="2" max="2" width="23.42578125" customWidth="1"/>
    <col min="3" max="3" width="21.28515625" customWidth="1"/>
    <col min="4" max="4" width="22.28515625" customWidth="1"/>
    <col min="5" max="5" width="23.140625" customWidth="1"/>
    <col min="6" max="6" width="26.140625" customWidth="1"/>
    <col min="7" max="7" width="17.5703125" customWidth="1"/>
    <col min="8" max="8" width="13.7109375" customWidth="1"/>
    <col min="11" max="11" width="26.85546875" customWidth="1"/>
    <col min="12" max="12" width="14.85546875" customWidth="1"/>
  </cols>
  <sheetData>
    <row r="2" spans="2:12">
      <c r="F2" t="s">
        <v>118</v>
      </c>
      <c r="G2" s="109">
        <v>45089</v>
      </c>
    </row>
    <row r="5" spans="2:12" ht="15.75" thickBot="1"/>
    <row r="6" spans="2:12" ht="18.75" thickBot="1">
      <c r="B6" s="30" t="s">
        <v>119</v>
      </c>
      <c r="C6" s="29" t="s">
        <v>36</v>
      </c>
      <c r="D6" s="26" t="s">
        <v>120</v>
      </c>
      <c r="E6" s="30" t="s">
        <v>121</v>
      </c>
      <c r="F6" s="30" t="s">
        <v>122</v>
      </c>
      <c r="G6" s="29" t="s">
        <v>123</v>
      </c>
      <c r="H6" s="28" t="s">
        <v>124</v>
      </c>
    </row>
    <row r="7" spans="2:12" s="92" customFormat="1" ht="13.5" customHeight="1">
      <c r="B7" s="121" t="s">
        <v>125</v>
      </c>
      <c r="C7" s="121" t="s">
        <v>126</v>
      </c>
      <c r="D7" s="121" t="s">
        <v>126</v>
      </c>
      <c r="E7" s="121" t="s">
        <v>54</v>
      </c>
      <c r="F7" s="121" t="s">
        <v>127</v>
      </c>
      <c r="G7" s="121" t="s">
        <v>54</v>
      </c>
      <c r="H7" s="121" t="s">
        <v>128</v>
      </c>
    </row>
    <row r="8" spans="2:12" ht="14.45" customHeight="1">
      <c r="B8" s="122"/>
      <c r="C8" s="122"/>
      <c r="D8" s="122"/>
      <c r="E8" s="122"/>
      <c r="F8" s="122"/>
      <c r="G8" s="122"/>
      <c r="H8" s="122"/>
    </row>
    <row r="9" spans="2:12" ht="30.95" customHeight="1" thickBot="1">
      <c r="B9" s="123"/>
      <c r="C9" s="123"/>
      <c r="D9" s="123"/>
      <c r="E9" s="123"/>
      <c r="F9" s="123"/>
      <c r="G9" s="123"/>
      <c r="H9" s="123"/>
    </row>
    <row r="10" spans="2:12" s="92" customFormat="1" ht="14.1" customHeight="1">
      <c r="B10" s="50"/>
      <c r="C10" s="50"/>
      <c r="D10" s="50"/>
      <c r="E10" s="50"/>
      <c r="F10" s="50"/>
      <c r="G10" s="50"/>
      <c r="H10" s="50"/>
    </row>
    <row r="11" spans="2:12" s="92" customFormat="1" ht="15" customHeight="1" thickBot="1">
      <c r="B11" s="50"/>
      <c r="C11" s="50"/>
      <c r="D11" s="50"/>
      <c r="E11" s="50"/>
      <c r="F11" s="50"/>
      <c r="G11" s="50"/>
      <c r="H11" s="50"/>
    </row>
    <row r="12" spans="2:12" ht="15.75" thickBot="1">
      <c r="B12" s="27" t="s">
        <v>129</v>
      </c>
      <c r="C12" s="26" t="s">
        <v>130</v>
      </c>
      <c r="D12" s="26" t="s">
        <v>131</v>
      </c>
      <c r="E12" s="26" t="s">
        <v>132</v>
      </c>
      <c r="F12" s="26" t="s">
        <v>133</v>
      </c>
      <c r="G12" s="25" t="s">
        <v>134</v>
      </c>
    </row>
    <row r="13" spans="2:12">
      <c r="B13" s="16">
        <v>0</v>
      </c>
      <c r="C13" s="3">
        <v>27.8</v>
      </c>
      <c r="D13" s="3">
        <v>100</v>
      </c>
      <c r="E13" s="3">
        <v>573560</v>
      </c>
      <c r="F13" s="2">
        <f t="shared" ref="F13:F19" si="0">(E13-7288.3)/54174</f>
        <v>10.452831616642669</v>
      </c>
      <c r="G13" s="32">
        <f t="shared" ref="G13:G19" si="1">($F$13-F13)/$F$13*100</f>
        <v>0</v>
      </c>
      <c r="K13" s="24" t="s">
        <v>135</v>
      </c>
      <c r="L13" s="23">
        <v>6.69</v>
      </c>
    </row>
    <row r="14" spans="2:12" ht="15.75" thickBot="1">
      <c r="B14" s="16">
        <v>5</v>
      </c>
      <c r="C14" s="3">
        <v>24.3</v>
      </c>
      <c r="D14" s="3">
        <v>100</v>
      </c>
      <c r="E14" s="3">
        <v>506238</v>
      </c>
      <c r="F14" s="2">
        <f t="shared" si="0"/>
        <v>9.2101321667220439</v>
      </c>
      <c r="G14" s="32">
        <f t="shared" si="1"/>
        <v>11.888639322784442</v>
      </c>
      <c r="K14" s="22" t="s">
        <v>136</v>
      </c>
      <c r="L14" s="21">
        <v>11.01</v>
      </c>
    </row>
    <row r="15" spans="2:12" ht="15.75" thickBot="1">
      <c r="B15" s="16">
        <v>18</v>
      </c>
      <c r="C15" s="3">
        <v>22.2</v>
      </c>
      <c r="D15" s="3">
        <v>100</v>
      </c>
      <c r="E15" s="3">
        <v>433196</v>
      </c>
      <c r="F15" s="2">
        <f t="shared" si="0"/>
        <v>7.8618470114815224</v>
      </c>
      <c r="G15" s="32">
        <f t="shared" si="1"/>
        <v>24.787394460998136</v>
      </c>
    </row>
    <row r="16" spans="2:12">
      <c r="B16" s="16">
        <v>30</v>
      </c>
      <c r="C16" s="3">
        <v>22.2</v>
      </c>
      <c r="D16" s="3">
        <v>100</v>
      </c>
      <c r="E16" s="3">
        <v>293158</v>
      </c>
      <c r="F16" s="2">
        <f t="shared" si="0"/>
        <v>5.2768800531620332</v>
      </c>
      <c r="G16" s="32">
        <f t="shared" si="1"/>
        <v>49.517219384263775</v>
      </c>
      <c r="K16" s="20" t="s">
        <v>137</v>
      </c>
      <c r="L16" s="19">
        <v>3.1019999999999999</v>
      </c>
    </row>
    <row r="17" spans="2:12" ht="15.75" thickBot="1">
      <c r="B17" s="16">
        <v>45</v>
      </c>
      <c r="C17" s="3">
        <v>21.4</v>
      </c>
      <c r="D17" s="3">
        <v>100</v>
      </c>
      <c r="E17" s="3">
        <v>312681</v>
      </c>
      <c r="F17" s="2">
        <f t="shared" si="0"/>
        <v>5.6372558792040461</v>
      </c>
      <c r="G17" s="32">
        <f t="shared" si="1"/>
        <v>46.069581086252413</v>
      </c>
      <c r="K17" s="18" t="s">
        <v>138</v>
      </c>
      <c r="L17" s="17">
        <v>3.5190000000000001</v>
      </c>
    </row>
    <row r="18" spans="2:12">
      <c r="B18" s="16">
        <v>60</v>
      </c>
      <c r="C18" s="3">
        <v>20.9</v>
      </c>
      <c r="D18" s="3">
        <v>100</v>
      </c>
      <c r="E18" s="3">
        <v>231680</v>
      </c>
      <c r="F18" s="2">
        <f t="shared" si="0"/>
        <v>4.1420552294458597</v>
      </c>
      <c r="G18" s="32">
        <f t="shared" si="1"/>
        <v>60.373845276039752</v>
      </c>
    </row>
    <row r="19" spans="2:12" ht="15.75" thickBot="1">
      <c r="B19" s="14">
        <v>90</v>
      </c>
      <c r="C19" s="13">
        <v>20.100000000000001</v>
      </c>
      <c r="D19" s="13">
        <v>100</v>
      </c>
      <c r="E19" s="13">
        <v>142380</v>
      </c>
      <c r="F19" s="12">
        <f t="shared" si="0"/>
        <v>2.4936630117768672</v>
      </c>
      <c r="G19" s="31">
        <f t="shared" si="1"/>
        <v>76.143660366569605</v>
      </c>
    </row>
  </sheetData>
  <mergeCells count="7">
    <mergeCell ref="F7:F9"/>
    <mergeCell ref="G7:G9"/>
    <mergeCell ref="H7:H9"/>
    <mergeCell ref="B7:B9"/>
    <mergeCell ref="C7:C9"/>
    <mergeCell ref="D7:D9"/>
    <mergeCell ref="E7:E9"/>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C56A4-E384-40FC-A634-90DD0E54979E}">
  <dimension ref="A1"/>
  <sheetViews>
    <sheetView topLeftCell="R35" zoomScale="63" zoomScaleNormal="92" workbookViewId="0">
      <selection activeCell="AI55" sqref="AI55"/>
    </sheetView>
  </sheetViews>
  <sheetFormatPr defaultColWidth="11.42578125" defaultRowHeight="15"/>
  <sheetData/>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8C9E9-056F-4203-B262-30230F77E6C1}">
  <dimension ref="A1"/>
  <sheetViews>
    <sheetView zoomScale="61" workbookViewId="0">
      <selection activeCell="K21" sqref="K21"/>
    </sheetView>
  </sheetViews>
  <sheetFormatPr defaultColWidth="11.42578125" defaultRowHeight="15"/>
  <sheetData/>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8B1F9-5042-455F-86BB-1CA070EE221C}">
  <dimension ref="C4:D4"/>
  <sheetViews>
    <sheetView zoomScale="60" workbookViewId="0">
      <selection activeCell="Y35" sqref="Y35"/>
    </sheetView>
  </sheetViews>
  <sheetFormatPr defaultColWidth="11.42578125" defaultRowHeight="15"/>
  <sheetData>
    <row r="4" spans="3:4">
      <c r="C4" t="s">
        <v>193</v>
      </c>
      <c r="D4" t="s">
        <v>194</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80884-B891-4D98-A1E8-8CBDA5CEE65A}">
  <dimension ref="B2:K20"/>
  <sheetViews>
    <sheetView topLeftCell="B1" zoomScale="81" zoomScaleNormal="81" workbookViewId="0">
      <selection activeCell="J4" sqref="J4"/>
    </sheetView>
  </sheetViews>
  <sheetFormatPr defaultColWidth="11.42578125" defaultRowHeight="15"/>
  <cols>
    <col min="2" max="2" width="23.42578125" customWidth="1"/>
    <col min="3" max="3" width="21.28515625" customWidth="1"/>
    <col min="4" max="4" width="22.28515625" customWidth="1"/>
    <col min="5" max="5" width="27.85546875" customWidth="1"/>
    <col min="6" max="6" width="27" customWidth="1"/>
    <col min="7" max="7" width="14.140625" customWidth="1"/>
    <col min="8" max="8" width="13.7109375" customWidth="1"/>
    <col min="10" max="10" width="29.140625" customWidth="1"/>
    <col min="11" max="11" width="19.85546875" customWidth="1"/>
  </cols>
  <sheetData>
    <row r="2" spans="2:11">
      <c r="G2" t="s">
        <v>118</v>
      </c>
      <c r="H2" s="109">
        <v>45086</v>
      </c>
    </row>
    <row r="5" spans="2:11" ht="15.75" thickBot="1"/>
    <row r="6" spans="2:11" ht="18.75" thickBot="1">
      <c r="B6" s="30" t="s">
        <v>119</v>
      </c>
      <c r="C6" s="29" t="s">
        <v>36</v>
      </c>
      <c r="D6" s="26" t="s">
        <v>120</v>
      </c>
      <c r="E6" s="30" t="s">
        <v>121</v>
      </c>
      <c r="F6" s="30" t="s">
        <v>122</v>
      </c>
      <c r="G6" s="29" t="s">
        <v>123</v>
      </c>
      <c r="H6" s="28" t="s">
        <v>124</v>
      </c>
    </row>
    <row r="7" spans="2:11" s="92" customFormat="1" ht="13.5" customHeight="1">
      <c r="B7" s="121" t="s">
        <v>125</v>
      </c>
      <c r="C7" s="121" t="s">
        <v>126</v>
      </c>
      <c r="D7" s="121" t="s">
        <v>126</v>
      </c>
      <c r="E7" s="121" t="s">
        <v>54</v>
      </c>
      <c r="F7" s="121" t="s">
        <v>127</v>
      </c>
      <c r="G7" s="121" t="s">
        <v>139</v>
      </c>
      <c r="H7" s="121" t="s">
        <v>128</v>
      </c>
    </row>
    <row r="8" spans="2:11" ht="14.45" customHeight="1">
      <c r="B8" s="122"/>
      <c r="C8" s="122"/>
      <c r="D8" s="122"/>
      <c r="E8" s="122"/>
      <c r="F8" s="122"/>
      <c r="G8" s="122"/>
      <c r="H8" s="122"/>
    </row>
    <row r="9" spans="2:11" ht="30.95" customHeight="1" thickBot="1">
      <c r="B9" s="123"/>
      <c r="C9" s="123"/>
      <c r="D9" s="123"/>
      <c r="E9" s="123"/>
      <c r="F9" s="123"/>
      <c r="G9" s="123"/>
      <c r="H9" s="123"/>
    </row>
    <row r="12" spans="2:11" ht="15.75" thickBot="1"/>
    <row r="13" spans="2:11" ht="15.75" thickBot="1">
      <c r="B13" s="27" t="s">
        <v>129</v>
      </c>
      <c r="C13" s="26" t="s">
        <v>130</v>
      </c>
      <c r="D13" s="26" t="s">
        <v>131</v>
      </c>
      <c r="E13" s="26" t="s">
        <v>132</v>
      </c>
      <c r="F13" s="26" t="s">
        <v>133</v>
      </c>
      <c r="G13" s="25" t="s">
        <v>134</v>
      </c>
    </row>
    <row r="14" spans="2:11">
      <c r="B14" s="16">
        <v>0</v>
      </c>
      <c r="C14" s="3">
        <v>28.3</v>
      </c>
      <c r="D14" s="3">
        <v>100</v>
      </c>
      <c r="E14" s="3">
        <v>2079.1</v>
      </c>
      <c r="F14" s="2">
        <f t="shared" ref="F14:F20" si="0">(E14+45.043)/227.02</f>
        <v>9.3566337767597574</v>
      </c>
      <c r="G14" s="32">
        <f t="shared" ref="G14:G20" si="1">($F$14-F14)/$F$14*100</f>
        <v>0</v>
      </c>
      <c r="J14" s="24" t="s">
        <v>135</v>
      </c>
      <c r="K14" s="23">
        <v>7.26</v>
      </c>
    </row>
    <row r="15" spans="2:11" ht="15.75" thickBot="1">
      <c r="B15" s="16">
        <v>5</v>
      </c>
      <c r="C15" s="3">
        <v>27.1</v>
      </c>
      <c r="D15" s="3">
        <v>100</v>
      </c>
      <c r="E15" s="3">
        <v>1856.1</v>
      </c>
      <c r="F15" s="2">
        <f t="shared" si="0"/>
        <v>8.3743414677120942</v>
      </c>
      <c r="G15" s="32">
        <f t="shared" si="1"/>
        <v>10.498351570492217</v>
      </c>
      <c r="J15" s="22" t="s">
        <v>136</v>
      </c>
      <c r="K15" s="21">
        <v>7.18</v>
      </c>
    </row>
    <row r="16" spans="2:11" ht="15.75" thickBot="1">
      <c r="B16" s="16">
        <v>15</v>
      </c>
      <c r="C16" s="3">
        <v>27.2</v>
      </c>
      <c r="D16" s="3">
        <v>100</v>
      </c>
      <c r="E16" s="3">
        <v>1637.8</v>
      </c>
      <c r="F16" s="2">
        <f t="shared" si="0"/>
        <v>7.412752180424631</v>
      </c>
      <c r="G16" s="32">
        <f t="shared" si="1"/>
        <v>20.775437435238604</v>
      </c>
    </row>
    <row r="17" spans="2:11">
      <c r="B17" s="16">
        <v>30</v>
      </c>
      <c r="C17" s="3">
        <v>26.5</v>
      </c>
      <c r="D17" s="3">
        <v>100</v>
      </c>
      <c r="E17" s="3">
        <v>1258.7</v>
      </c>
      <c r="F17" s="2">
        <f t="shared" si="0"/>
        <v>5.7428552550436081</v>
      </c>
      <c r="G17" s="32">
        <f t="shared" si="1"/>
        <v>38.622635105075325</v>
      </c>
      <c r="J17" s="20" t="s">
        <v>137</v>
      </c>
      <c r="K17" s="19">
        <f>(2.864+2.886)/2</f>
        <v>2.875</v>
      </c>
    </row>
    <row r="18" spans="2:11" ht="15.75" thickBot="1">
      <c r="B18" s="16">
        <v>45</v>
      </c>
      <c r="C18" s="3">
        <v>26.1</v>
      </c>
      <c r="D18" s="3">
        <v>100</v>
      </c>
      <c r="E18" s="3">
        <v>926.1</v>
      </c>
      <c r="F18" s="2">
        <f t="shared" si="0"/>
        <v>4.2777860981411333</v>
      </c>
      <c r="G18" s="32">
        <f t="shared" si="1"/>
        <v>54.280714622320623</v>
      </c>
      <c r="J18" s="18" t="s">
        <v>138</v>
      </c>
      <c r="K18" s="17">
        <f>(3.097+3.06)/2</f>
        <v>3.0785</v>
      </c>
    </row>
    <row r="19" spans="2:11">
      <c r="B19" s="16">
        <v>60</v>
      </c>
      <c r="C19" s="3">
        <v>26.3</v>
      </c>
      <c r="D19" s="3">
        <v>100</v>
      </c>
      <c r="E19" s="3">
        <v>695.2</v>
      </c>
      <c r="F19" s="2">
        <f t="shared" si="0"/>
        <v>3.2606950929433531</v>
      </c>
      <c r="G19" s="32">
        <f t="shared" si="1"/>
        <v>65.150980889704698</v>
      </c>
    </row>
    <row r="20" spans="2:11" ht="15.75" thickBot="1">
      <c r="B20" s="14">
        <v>90</v>
      </c>
      <c r="C20" s="13">
        <v>26.4</v>
      </c>
      <c r="D20" s="13">
        <v>100</v>
      </c>
      <c r="E20" s="13">
        <v>327.7</v>
      </c>
      <c r="F20" s="12">
        <f t="shared" si="0"/>
        <v>1.6418949872257951</v>
      </c>
      <c r="G20" s="31">
        <f t="shared" si="1"/>
        <v>82.452075966636897</v>
      </c>
    </row>
  </sheetData>
  <mergeCells count="7">
    <mergeCell ref="F7:F9"/>
    <mergeCell ref="G7:G9"/>
    <mergeCell ref="H7:H9"/>
    <mergeCell ref="B7:B9"/>
    <mergeCell ref="C7:C9"/>
    <mergeCell ref="D7:D9"/>
    <mergeCell ref="E7:E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3CB5B-F3E1-4E56-B6FF-8E0B6A995C42}">
  <dimension ref="B2:K19"/>
  <sheetViews>
    <sheetView zoomScale="77" workbookViewId="0">
      <selection activeCell="H3" sqref="H3"/>
    </sheetView>
  </sheetViews>
  <sheetFormatPr defaultColWidth="11.42578125" defaultRowHeight="15"/>
  <cols>
    <col min="2" max="2" width="23.42578125" customWidth="1"/>
    <col min="3" max="3" width="21.28515625" customWidth="1"/>
    <col min="4" max="4" width="22.28515625" customWidth="1"/>
    <col min="5" max="5" width="24.28515625" customWidth="1"/>
    <col min="6" max="6" width="27.42578125" customWidth="1"/>
    <col min="7" max="7" width="16.42578125" customWidth="1"/>
    <col min="8" max="8" width="12.5703125" customWidth="1"/>
    <col min="10" max="10" width="27" customWidth="1"/>
  </cols>
  <sheetData>
    <row r="2" spans="2:11">
      <c r="G2" t="s">
        <v>118</v>
      </c>
      <c r="H2" s="109">
        <v>45072</v>
      </c>
    </row>
    <row r="5" spans="2:11" ht="15.75" thickBot="1"/>
    <row r="6" spans="2:11" ht="18.75" thickBot="1">
      <c r="B6" s="30" t="s">
        <v>119</v>
      </c>
      <c r="C6" s="29" t="s">
        <v>36</v>
      </c>
      <c r="D6" s="26" t="s">
        <v>120</v>
      </c>
      <c r="E6" s="30" t="s">
        <v>121</v>
      </c>
      <c r="F6" s="30" t="s">
        <v>122</v>
      </c>
      <c r="G6" s="29" t="s">
        <v>123</v>
      </c>
      <c r="H6" s="28" t="s">
        <v>124</v>
      </c>
    </row>
    <row r="7" spans="2:11" s="92" customFormat="1" ht="13.5" customHeight="1">
      <c r="B7" s="121" t="s">
        <v>125</v>
      </c>
      <c r="C7" s="121" t="s">
        <v>126</v>
      </c>
      <c r="D7" s="121">
        <v>0.16500000000000001</v>
      </c>
      <c r="E7" s="121" t="s">
        <v>54</v>
      </c>
      <c r="F7" s="121" t="s">
        <v>127</v>
      </c>
      <c r="G7" s="121" t="s">
        <v>139</v>
      </c>
      <c r="H7" s="121" t="s">
        <v>140</v>
      </c>
    </row>
    <row r="8" spans="2:11" ht="14.45" customHeight="1">
      <c r="B8" s="122"/>
      <c r="C8" s="122"/>
      <c r="D8" s="122"/>
      <c r="E8" s="122"/>
      <c r="F8" s="122"/>
      <c r="G8" s="122"/>
      <c r="H8" s="122"/>
    </row>
    <row r="9" spans="2:11" ht="30.95" customHeight="1" thickBot="1">
      <c r="B9" s="123"/>
      <c r="C9" s="123"/>
      <c r="D9" s="123"/>
      <c r="E9" s="123"/>
      <c r="F9" s="123"/>
      <c r="G9" s="123"/>
      <c r="H9" s="123"/>
    </row>
    <row r="11" spans="2:11" ht="15.75" thickBot="1"/>
    <row r="12" spans="2:11" ht="15.75" thickBot="1">
      <c r="B12" s="27" t="s">
        <v>129</v>
      </c>
      <c r="C12" s="26" t="s">
        <v>130</v>
      </c>
      <c r="D12" s="26" t="s">
        <v>131</v>
      </c>
      <c r="E12" s="26" t="s">
        <v>132</v>
      </c>
      <c r="F12" s="26" t="s">
        <v>133</v>
      </c>
      <c r="G12" s="25" t="s">
        <v>134</v>
      </c>
    </row>
    <row r="13" spans="2:11">
      <c r="B13" s="16">
        <v>0</v>
      </c>
      <c r="C13" s="3">
        <v>24.8</v>
      </c>
      <c r="D13" s="3">
        <v>100</v>
      </c>
      <c r="E13" s="3">
        <v>553232</v>
      </c>
      <c r="F13" s="3">
        <f t="shared" ref="F13:F19" si="0">E13/54277</f>
        <v>10.192751994399101</v>
      </c>
      <c r="G13" s="106">
        <f t="shared" ref="G13:G19" si="1">($F$13-F13)/$F$13*100</f>
        <v>0</v>
      </c>
      <c r="J13" s="24" t="s">
        <v>135</v>
      </c>
      <c r="K13" s="23">
        <v>6.17</v>
      </c>
    </row>
    <row r="14" spans="2:11" ht="15.75" thickBot="1">
      <c r="B14" s="16">
        <v>5</v>
      </c>
      <c r="C14" s="3">
        <v>25.3</v>
      </c>
      <c r="D14" s="3">
        <v>100</v>
      </c>
      <c r="E14" s="3">
        <v>484139</v>
      </c>
      <c r="F14" s="3">
        <f t="shared" si="0"/>
        <v>8.9197818597195866</v>
      </c>
      <c r="G14" s="106">
        <f t="shared" si="1"/>
        <v>12.488973884374008</v>
      </c>
      <c r="J14" s="22" t="s">
        <v>136</v>
      </c>
      <c r="K14" s="21">
        <v>10.32</v>
      </c>
    </row>
    <row r="15" spans="2:11" ht="15.75" thickBot="1">
      <c r="B15" s="16">
        <v>15</v>
      </c>
      <c r="C15" s="3">
        <v>24.6</v>
      </c>
      <c r="D15" s="3">
        <v>100</v>
      </c>
      <c r="E15" s="3">
        <v>407159</v>
      </c>
      <c r="F15" s="3">
        <f t="shared" si="0"/>
        <v>7.5015015568288597</v>
      </c>
      <c r="G15" s="106">
        <f t="shared" si="1"/>
        <v>26.403570292390892</v>
      </c>
    </row>
    <row r="16" spans="2:11">
      <c r="B16" s="16">
        <v>30</v>
      </c>
      <c r="C16" s="3">
        <v>24.3</v>
      </c>
      <c r="D16" s="3">
        <v>100</v>
      </c>
      <c r="E16" s="3">
        <v>326587</v>
      </c>
      <c r="F16" s="3">
        <f t="shared" si="0"/>
        <v>6.0170422094072995</v>
      </c>
      <c r="G16" s="106">
        <f t="shared" si="1"/>
        <v>40.967442230384357</v>
      </c>
      <c r="J16" s="20" t="s">
        <v>137</v>
      </c>
      <c r="K16" s="19">
        <v>3.0190000000000001</v>
      </c>
    </row>
    <row r="17" spans="2:11" ht="15.75" thickBot="1">
      <c r="B17" s="16">
        <v>45</v>
      </c>
      <c r="C17" s="3">
        <v>24.7</v>
      </c>
      <c r="D17" s="3">
        <v>100</v>
      </c>
      <c r="E17" s="3">
        <v>232922</v>
      </c>
      <c r="F17" s="3">
        <f t="shared" si="0"/>
        <v>4.2913572968292275</v>
      </c>
      <c r="G17" s="106">
        <f t="shared" si="1"/>
        <v>57.897952396101459</v>
      </c>
      <c r="J17" s="18" t="s">
        <v>138</v>
      </c>
      <c r="K17" s="17">
        <v>3.3279999999999998</v>
      </c>
    </row>
    <row r="18" spans="2:11">
      <c r="B18" s="16">
        <v>60</v>
      </c>
      <c r="C18" s="3">
        <v>24.6</v>
      </c>
      <c r="D18" s="3">
        <v>100</v>
      </c>
      <c r="E18" s="3">
        <v>176000</v>
      </c>
      <c r="F18" s="3">
        <f t="shared" si="0"/>
        <v>3.242625789929436</v>
      </c>
      <c r="G18" s="106">
        <f t="shared" si="1"/>
        <v>68.18694507909882</v>
      </c>
    </row>
    <row r="19" spans="2:11" ht="15.75" thickBot="1">
      <c r="B19" s="14">
        <v>90</v>
      </c>
      <c r="C19" s="13">
        <v>24.8</v>
      </c>
      <c r="D19" s="13">
        <v>100</v>
      </c>
      <c r="E19" s="13">
        <v>85440</v>
      </c>
      <c r="F19" s="13">
        <f t="shared" si="0"/>
        <v>1.5741474289293809</v>
      </c>
      <c r="G19" s="21">
        <f t="shared" si="1"/>
        <v>84.556207883853432</v>
      </c>
    </row>
  </sheetData>
  <mergeCells count="7">
    <mergeCell ref="F7:F9"/>
    <mergeCell ref="G7:G9"/>
    <mergeCell ref="H7:H9"/>
    <mergeCell ref="B7:B9"/>
    <mergeCell ref="C7:C9"/>
    <mergeCell ref="D7:D9"/>
    <mergeCell ref="E7:E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E6837-9322-4364-99C6-C5AFA620062F}">
  <dimension ref="B2:K32"/>
  <sheetViews>
    <sheetView topLeftCell="A4" zoomScale="86" zoomScaleNormal="86" workbookViewId="0">
      <selection activeCell="H13" sqref="H13"/>
    </sheetView>
  </sheetViews>
  <sheetFormatPr defaultColWidth="11.42578125" defaultRowHeight="15"/>
  <cols>
    <col min="2" max="2" width="23.42578125" customWidth="1"/>
    <col min="3" max="3" width="21.28515625" customWidth="1"/>
    <col min="4" max="4" width="22.28515625" customWidth="1"/>
    <col min="5" max="5" width="27.85546875" customWidth="1"/>
    <col min="6" max="6" width="25.85546875" customWidth="1"/>
    <col min="7" max="7" width="17.85546875" customWidth="1"/>
    <col min="8" max="8" width="13.140625" customWidth="1"/>
    <col min="10" max="10" width="28.5703125" customWidth="1"/>
  </cols>
  <sheetData>
    <row r="2" spans="2:11">
      <c r="G2" t="s">
        <v>118</v>
      </c>
      <c r="H2" s="109">
        <v>45089</v>
      </c>
    </row>
    <row r="5" spans="2:11" ht="15.75" thickBot="1"/>
    <row r="6" spans="2:11" ht="18.75" thickBot="1">
      <c r="B6" s="30" t="s">
        <v>119</v>
      </c>
      <c r="C6" s="29" t="s">
        <v>36</v>
      </c>
      <c r="D6" s="26" t="s">
        <v>120</v>
      </c>
      <c r="E6" s="30" t="s">
        <v>121</v>
      </c>
      <c r="F6" s="30" t="s">
        <v>122</v>
      </c>
      <c r="G6" s="29" t="s">
        <v>123</v>
      </c>
      <c r="H6" s="28" t="s">
        <v>124</v>
      </c>
    </row>
    <row r="7" spans="2:11" s="92" customFormat="1" ht="13.5" customHeight="1">
      <c r="B7" s="121" t="s">
        <v>125</v>
      </c>
      <c r="C7" s="121">
        <v>0.17899999999999999</v>
      </c>
      <c r="D7" s="121" t="s">
        <v>126</v>
      </c>
      <c r="E7" s="121" t="s">
        <v>126</v>
      </c>
      <c r="F7" s="121" t="s">
        <v>127</v>
      </c>
      <c r="G7" s="121" t="s">
        <v>139</v>
      </c>
      <c r="H7" s="121" t="s">
        <v>128</v>
      </c>
    </row>
    <row r="8" spans="2:11" ht="14.45" customHeight="1">
      <c r="B8" s="122"/>
      <c r="C8" s="122"/>
      <c r="D8" s="122"/>
      <c r="E8" s="122"/>
      <c r="F8" s="122"/>
      <c r="G8" s="122"/>
      <c r="H8" s="122"/>
    </row>
    <row r="9" spans="2:11" ht="30.95" customHeight="1" thickBot="1">
      <c r="B9" s="123"/>
      <c r="C9" s="123"/>
      <c r="D9" s="123"/>
      <c r="E9" s="123"/>
      <c r="F9" s="123"/>
      <c r="G9" s="123"/>
      <c r="H9" s="123"/>
    </row>
    <row r="14" spans="2:11" ht="15.75" thickBot="1"/>
    <row r="15" spans="2:11" ht="15.75" thickBot="1">
      <c r="B15" s="27" t="s">
        <v>129</v>
      </c>
      <c r="C15" s="26" t="s">
        <v>130</v>
      </c>
      <c r="D15" s="26" t="s">
        <v>131</v>
      </c>
      <c r="E15" s="26" t="s">
        <v>132</v>
      </c>
      <c r="F15" s="26" t="s">
        <v>133</v>
      </c>
      <c r="G15" s="25" t="s">
        <v>134</v>
      </c>
      <c r="J15" s="24" t="s">
        <v>135</v>
      </c>
      <c r="K15" s="23">
        <v>6.51</v>
      </c>
    </row>
    <row r="16" spans="2:11" ht="15.75" thickBot="1">
      <c r="B16" s="16">
        <v>0</v>
      </c>
      <c r="C16" s="107">
        <v>29</v>
      </c>
      <c r="D16" s="3">
        <v>100</v>
      </c>
      <c r="E16" s="3">
        <v>577459</v>
      </c>
      <c r="F16" s="2">
        <f t="shared" ref="F16:F22" si="0">E16/54277</f>
        <v>10.63911048878899</v>
      </c>
      <c r="G16" s="32">
        <f t="shared" ref="G16:G22" si="1">($F$16-F16)/$F$16*100</f>
        <v>0</v>
      </c>
      <c r="J16" s="22" t="s">
        <v>136</v>
      </c>
      <c r="K16" s="21" t="s">
        <v>49</v>
      </c>
    </row>
    <row r="17" spans="2:11" ht="15.75" thickBot="1">
      <c r="B17" s="16">
        <v>5</v>
      </c>
      <c r="C17" s="107">
        <v>28.7</v>
      </c>
      <c r="D17" s="3">
        <v>100</v>
      </c>
      <c r="E17" s="3">
        <v>481315</v>
      </c>
      <c r="F17" s="2">
        <f t="shared" si="0"/>
        <v>8.8677524549993549</v>
      </c>
      <c r="G17" s="32">
        <f t="shared" si="1"/>
        <v>16.649493730290814</v>
      </c>
    </row>
    <row r="18" spans="2:11">
      <c r="B18" s="16">
        <v>15</v>
      </c>
      <c r="C18" s="107">
        <v>27</v>
      </c>
      <c r="D18" s="3">
        <v>100</v>
      </c>
      <c r="E18" s="3">
        <v>210334</v>
      </c>
      <c r="F18" s="2">
        <f t="shared" si="0"/>
        <v>3.8751957551080567</v>
      </c>
      <c r="G18" s="32">
        <f t="shared" si="1"/>
        <v>63.575942188103397</v>
      </c>
      <c r="J18" s="20" t="s">
        <v>137</v>
      </c>
      <c r="K18" s="19">
        <v>1.5469999999999999</v>
      </c>
    </row>
    <row r="19" spans="2:11" ht="15.75" thickBot="1">
      <c r="B19" s="16">
        <v>30</v>
      </c>
      <c r="C19" s="107">
        <v>26</v>
      </c>
      <c r="D19" s="3">
        <v>100</v>
      </c>
      <c r="E19" s="3">
        <v>151625</v>
      </c>
      <c r="F19" s="2">
        <f t="shared" si="0"/>
        <v>2.7935405420343793</v>
      </c>
      <c r="G19" s="32">
        <f t="shared" si="1"/>
        <v>73.742724591702611</v>
      </c>
      <c r="J19" s="18" t="s">
        <v>138</v>
      </c>
      <c r="K19" s="17" t="s">
        <v>49</v>
      </c>
    </row>
    <row r="20" spans="2:11">
      <c r="B20" s="16">
        <v>45</v>
      </c>
      <c r="C20" s="107">
        <v>26</v>
      </c>
      <c r="D20" s="3">
        <v>100</v>
      </c>
      <c r="E20" s="3">
        <v>120053</v>
      </c>
      <c r="F20" s="2">
        <f t="shared" si="0"/>
        <v>2.2118576929454465</v>
      </c>
      <c r="G20" s="32">
        <f t="shared" si="1"/>
        <v>79.210125740528753</v>
      </c>
    </row>
    <row r="21" spans="2:11">
      <c r="B21" s="16">
        <v>60</v>
      </c>
      <c r="C21" s="107">
        <v>26.4</v>
      </c>
      <c r="D21" s="3">
        <v>100</v>
      </c>
      <c r="E21" s="3">
        <v>110265</v>
      </c>
      <c r="F21" s="2">
        <f t="shared" si="0"/>
        <v>2.0315234814009617</v>
      </c>
      <c r="G21" s="32">
        <f t="shared" si="1"/>
        <v>80.905137853942875</v>
      </c>
    </row>
    <row r="22" spans="2:11" ht="15.75" thickBot="1">
      <c r="B22" s="14">
        <v>90</v>
      </c>
      <c r="C22" s="108">
        <v>26.5</v>
      </c>
      <c r="D22" s="13">
        <v>100</v>
      </c>
      <c r="E22" s="13">
        <v>130190</v>
      </c>
      <c r="F22" s="12">
        <f t="shared" si="0"/>
        <v>2.3986218840392799</v>
      </c>
      <c r="G22" s="31">
        <f t="shared" si="1"/>
        <v>77.454676435902812</v>
      </c>
    </row>
    <row r="28" spans="2:11">
      <c r="F28" t="s">
        <v>141</v>
      </c>
      <c r="G28" t="s">
        <v>142</v>
      </c>
    </row>
    <row r="29" spans="2:11">
      <c r="E29" t="s">
        <v>143</v>
      </c>
      <c r="F29">
        <f>G18</f>
        <v>63.575942188103397</v>
      </c>
      <c r="G29">
        <f>G20</f>
        <v>79.210125740528753</v>
      </c>
    </row>
    <row r="30" spans="2:11">
      <c r="E30" t="s">
        <v>144</v>
      </c>
      <c r="F30">
        <f>'C'!G15</f>
        <v>26.403570292390892</v>
      </c>
      <c r="G30">
        <f>'C'!G17</f>
        <v>57.897952396101459</v>
      </c>
    </row>
    <row r="31" spans="2:11">
      <c r="E31" t="s">
        <v>145</v>
      </c>
      <c r="F31">
        <f>F!G16</f>
        <v>20.415704616151576</v>
      </c>
      <c r="G31">
        <f>F!G18</f>
        <v>52.059875782203349</v>
      </c>
    </row>
    <row r="32" spans="2:11">
      <c r="E32" t="s">
        <v>146</v>
      </c>
      <c r="F32">
        <f>E!G16</f>
        <v>43.907258689760873</v>
      </c>
      <c r="G32">
        <f>E!G18</f>
        <v>65.665002616992567</v>
      </c>
    </row>
  </sheetData>
  <mergeCells count="7">
    <mergeCell ref="F7:F9"/>
    <mergeCell ref="G7:G9"/>
    <mergeCell ref="H7:H9"/>
    <mergeCell ref="B7:B9"/>
    <mergeCell ref="C7:C9"/>
    <mergeCell ref="D7:D9"/>
    <mergeCell ref="E7:E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2BB56-4FA2-4C0D-8EF5-F8B42A6562CF}">
  <dimension ref="B2:K20"/>
  <sheetViews>
    <sheetView zoomScale="78" zoomScaleNormal="78" workbookViewId="0">
      <selection activeCell="F23" sqref="F23"/>
    </sheetView>
  </sheetViews>
  <sheetFormatPr defaultColWidth="11.42578125" defaultRowHeight="15"/>
  <cols>
    <col min="2" max="2" width="23.42578125" customWidth="1"/>
    <col min="3" max="3" width="21.28515625" customWidth="1"/>
    <col min="4" max="4" width="22.28515625" customWidth="1"/>
    <col min="5" max="5" width="25.85546875" customWidth="1"/>
    <col min="6" max="6" width="26.42578125" customWidth="1"/>
    <col min="7" max="7" width="27.140625" customWidth="1"/>
    <col min="8" max="8" width="16.140625" customWidth="1"/>
    <col min="10" max="10" width="27.28515625" customWidth="1"/>
  </cols>
  <sheetData>
    <row r="2" spans="2:11">
      <c r="H2" t="s">
        <v>118</v>
      </c>
      <c r="I2" s="109">
        <v>45072</v>
      </c>
    </row>
    <row r="5" spans="2:11" ht="15.75" thickBot="1"/>
    <row r="6" spans="2:11" ht="18.75" thickBot="1">
      <c r="B6" s="30" t="s">
        <v>119</v>
      </c>
      <c r="C6" s="29" t="s">
        <v>36</v>
      </c>
      <c r="D6" s="26" t="s">
        <v>120</v>
      </c>
      <c r="E6" s="26" t="s">
        <v>147</v>
      </c>
      <c r="F6" s="30" t="s">
        <v>121</v>
      </c>
      <c r="G6" s="30" t="s">
        <v>122</v>
      </c>
      <c r="H6" s="29" t="s">
        <v>123</v>
      </c>
      <c r="I6" s="28" t="s">
        <v>124</v>
      </c>
    </row>
    <row r="7" spans="2:11" s="92" customFormat="1" ht="13.5" customHeight="1">
      <c r="B7" s="122" t="s">
        <v>125</v>
      </c>
      <c r="C7" s="122" t="s">
        <v>126</v>
      </c>
      <c r="D7" s="122" t="s">
        <v>126</v>
      </c>
      <c r="E7" s="121">
        <v>0.18099999999999999</v>
      </c>
      <c r="F7" s="122" t="s">
        <v>148</v>
      </c>
      <c r="G7" s="122" t="s">
        <v>127</v>
      </c>
      <c r="H7" s="122" t="s">
        <v>139</v>
      </c>
      <c r="I7" s="122" t="s">
        <v>54</v>
      </c>
    </row>
    <row r="8" spans="2:11" ht="14.45" customHeight="1">
      <c r="B8" s="122"/>
      <c r="C8" s="122"/>
      <c r="D8" s="122"/>
      <c r="E8" s="122"/>
      <c r="F8" s="122"/>
      <c r="G8" s="122"/>
      <c r="H8" s="122"/>
      <c r="I8" s="122"/>
    </row>
    <row r="9" spans="2:11" ht="30.95" customHeight="1" thickBot="1">
      <c r="B9" s="123"/>
      <c r="C9" s="123"/>
      <c r="D9" s="123"/>
      <c r="E9" s="123"/>
      <c r="F9" s="123"/>
      <c r="G9" s="123"/>
      <c r="H9" s="123"/>
      <c r="I9" s="123"/>
    </row>
    <row r="12" spans="2:11" ht="15.75" thickBot="1"/>
    <row r="13" spans="2:11" ht="15.75" thickBot="1">
      <c r="B13" s="27" t="s">
        <v>129</v>
      </c>
      <c r="C13" s="26" t="s">
        <v>130</v>
      </c>
      <c r="D13" s="26" t="s">
        <v>131</v>
      </c>
      <c r="E13" s="26" t="s">
        <v>132</v>
      </c>
      <c r="F13" s="26" t="s">
        <v>133</v>
      </c>
      <c r="G13" s="25" t="s">
        <v>134</v>
      </c>
    </row>
    <row r="14" spans="2:11">
      <c r="B14" s="16">
        <v>0</v>
      </c>
      <c r="C14" s="3">
        <v>27.5</v>
      </c>
      <c r="D14" s="3">
        <v>100</v>
      </c>
      <c r="E14" s="3">
        <v>553526</v>
      </c>
      <c r="F14" s="2">
        <f t="shared" ref="F14:F20" si="0">(E14-7288.3)/54174</f>
        <v>10.083023221471553</v>
      </c>
      <c r="G14" s="32">
        <f t="shared" ref="G14:G20" si="1">($F$14-F14)/$F$14*100</f>
        <v>0</v>
      </c>
      <c r="J14" s="24" t="s">
        <v>135</v>
      </c>
      <c r="K14" s="23">
        <v>6.17</v>
      </c>
    </row>
    <row r="15" spans="2:11" ht="15.75" thickBot="1">
      <c r="B15" s="16">
        <v>5</v>
      </c>
      <c r="C15" s="3">
        <v>25.5</v>
      </c>
      <c r="D15" s="3">
        <v>100</v>
      </c>
      <c r="E15" s="3">
        <v>461968</v>
      </c>
      <c r="F15" s="2">
        <f t="shared" si="0"/>
        <v>8.3929504928563521</v>
      </c>
      <c r="G15" s="32">
        <f t="shared" si="1"/>
        <v>16.761567354285489</v>
      </c>
      <c r="J15" s="22" t="s">
        <v>136</v>
      </c>
      <c r="K15" s="21">
        <v>3.44</v>
      </c>
    </row>
    <row r="16" spans="2:11" ht="15.75" thickBot="1">
      <c r="B16" s="16">
        <v>15</v>
      </c>
      <c r="C16" s="3">
        <v>25.5</v>
      </c>
      <c r="D16" s="3">
        <v>100</v>
      </c>
      <c r="E16" s="3">
        <v>313688</v>
      </c>
      <c r="F16" s="2">
        <f t="shared" si="0"/>
        <v>5.6558441318713779</v>
      </c>
      <c r="G16" s="32">
        <f t="shared" si="1"/>
        <v>43.907258689760873</v>
      </c>
    </row>
    <row r="17" spans="2:11">
      <c r="B17" s="16">
        <v>30</v>
      </c>
      <c r="C17" s="3">
        <v>25.2</v>
      </c>
      <c r="D17" s="3">
        <v>100</v>
      </c>
      <c r="E17" s="3">
        <v>272548</v>
      </c>
      <c r="F17" s="2">
        <f t="shared" si="0"/>
        <v>4.8964392513013628</v>
      </c>
      <c r="G17" s="32">
        <f t="shared" si="1"/>
        <v>51.438778392630155</v>
      </c>
      <c r="J17" s="20" t="s">
        <v>137</v>
      </c>
      <c r="K17" s="19">
        <v>3.0190000000000001</v>
      </c>
    </row>
    <row r="18" spans="2:11" ht="15.75" thickBot="1">
      <c r="B18" s="16">
        <v>45</v>
      </c>
      <c r="C18" s="3">
        <v>25</v>
      </c>
      <c r="D18" s="3">
        <v>100</v>
      </c>
      <c r="E18" s="3">
        <v>194839</v>
      </c>
      <c r="F18" s="2">
        <f t="shared" si="0"/>
        <v>3.4620057592202902</v>
      </c>
      <c r="G18" s="32">
        <f t="shared" si="1"/>
        <v>65.665002616992567</v>
      </c>
      <c r="J18" s="18" t="s">
        <v>138</v>
      </c>
      <c r="K18" s="17">
        <v>3.2810000000000001</v>
      </c>
    </row>
    <row r="19" spans="2:11">
      <c r="B19" s="16">
        <v>60</v>
      </c>
      <c r="C19" s="3">
        <v>25.1</v>
      </c>
      <c r="D19" s="3">
        <v>100</v>
      </c>
      <c r="E19" s="3">
        <v>158162</v>
      </c>
      <c r="F19" s="2">
        <f t="shared" si="0"/>
        <v>2.7849835714549416</v>
      </c>
      <c r="G19" s="32">
        <f t="shared" si="1"/>
        <v>72.379478750734336</v>
      </c>
    </row>
    <row r="20" spans="2:11" ht="15.75" thickBot="1">
      <c r="B20" s="14">
        <v>90</v>
      </c>
      <c r="C20" s="13">
        <v>23.9</v>
      </c>
      <c r="D20" s="13">
        <v>100</v>
      </c>
      <c r="E20" s="13">
        <v>73359</v>
      </c>
      <c r="F20" s="12">
        <f t="shared" si="0"/>
        <v>1.2196016539299295</v>
      </c>
      <c r="G20" s="31">
        <f t="shared" si="1"/>
        <v>87.904404987059664</v>
      </c>
    </row>
  </sheetData>
  <mergeCells count="8">
    <mergeCell ref="G7:G9"/>
    <mergeCell ref="H7:H9"/>
    <mergeCell ref="E7:E9"/>
    <mergeCell ref="I7:I9"/>
    <mergeCell ref="B7:B9"/>
    <mergeCell ref="C7:C9"/>
    <mergeCell ref="D7:D9"/>
    <mergeCell ref="F7:F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E6F71-7BA8-4002-9FCA-10C8F8A09BB6}">
  <dimension ref="B2:K20"/>
  <sheetViews>
    <sheetView zoomScale="91" zoomScaleNormal="91" workbookViewId="0">
      <selection activeCell="H11" sqref="H11"/>
    </sheetView>
  </sheetViews>
  <sheetFormatPr defaultColWidth="11.42578125" defaultRowHeight="15"/>
  <cols>
    <col min="2" max="2" width="21.5703125" customWidth="1"/>
    <col min="3" max="3" width="21.28515625" customWidth="1"/>
    <col min="4" max="4" width="22.28515625" customWidth="1"/>
    <col min="5" max="5" width="27.5703125" customWidth="1"/>
    <col min="6" max="6" width="27.42578125" customWidth="1"/>
    <col min="7" max="7" width="27.28515625" customWidth="1"/>
    <col min="8" max="8" width="16.42578125" customWidth="1"/>
    <col min="9" max="9" width="14" customWidth="1"/>
    <col min="10" max="10" width="27.140625" customWidth="1"/>
  </cols>
  <sheetData>
    <row r="2" spans="2:11">
      <c r="H2" t="s">
        <v>118</v>
      </c>
      <c r="I2" s="109">
        <v>45072</v>
      </c>
    </row>
    <row r="4" spans="2:11" ht="15.75">
      <c r="B4" s="10"/>
    </row>
    <row r="5" spans="2:11" ht="15.75" thickBot="1"/>
    <row r="6" spans="2:11" ht="18.75" thickBot="1">
      <c r="B6" s="30" t="s">
        <v>119</v>
      </c>
      <c r="C6" s="29" t="s">
        <v>36</v>
      </c>
      <c r="D6" s="26" t="s">
        <v>120</v>
      </c>
      <c r="E6" s="29" t="s">
        <v>147</v>
      </c>
      <c r="F6" s="30" t="s">
        <v>121</v>
      </c>
      <c r="G6" s="30" t="s">
        <v>122</v>
      </c>
      <c r="H6" s="29" t="s">
        <v>123</v>
      </c>
      <c r="I6" s="28" t="s">
        <v>124</v>
      </c>
    </row>
    <row r="7" spans="2:11" s="92" customFormat="1" ht="13.5" customHeight="1">
      <c r="B7" s="121" t="s">
        <v>149</v>
      </c>
      <c r="C7" s="121" t="s">
        <v>126</v>
      </c>
      <c r="D7" s="121" t="s">
        <v>126</v>
      </c>
      <c r="E7" s="121">
        <v>0.219</v>
      </c>
      <c r="F7" s="121" t="s">
        <v>54</v>
      </c>
      <c r="G7" s="121" t="s">
        <v>127</v>
      </c>
      <c r="H7" s="121" t="s">
        <v>139</v>
      </c>
      <c r="I7" s="121" t="s">
        <v>140</v>
      </c>
    </row>
    <row r="8" spans="2:11" ht="14.45" customHeight="1">
      <c r="B8" s="122"/>
      <c r="C8" s="122"/>
      <c r="D8" s="122"/>
      <c r="E8" s="122"/>
      <c r="F8" s="122"/>
      <c r="G8" s="122"/>
      <c r="H8" s="122"/>
      <c r="I8" s="122"/>
    </row>
    <row r="9" spans="2:11" ht="30.95" customHeight="1" thickBot="1">
      <c r="B9" s="123"/>
      <c r="C9" s="123"/>
      <c r="D9" s="123"/>
      <c r="E9" s="123"/>
      <c r="F9" s="123"/>
      <c r="G9" s="123"/>
      <c r="H9" s="123"/>
      <c r="I9" s="123"/>
    </row>
    <row r="10" spans="2:11">
      <c r="E10" s="3"/>
      <c r="F10" s="3"/>
      <c r="G10" s="3"/>
      <c r="H10" s="3"/>
      <c r="I10" s="3"/>
    </row>
    <row r="12" spans="2:11" ht="15.75" thickBot="1"/>
    <row r="13" spans="2:11" ht="15.75" thickBot="1">
      <c r="B13" s="27" t="s">
        <v>129</v>
      </c>
      <c r="C13" s="26" t="s">
        <v>130</v>
      </c>
      <c r="D13" s="26" t="s">
        <v>131</v>
      </c>
      <c r="E13" s="26" t="s">
        <v>132</v>
      </c>
      <c r="F13" s="26" t="s">
        <v>133</v>
      </c>
      <c r="G13" s="25" t="s">
        <v>134</v>
      </c>
    </row>
    <row r="14" spans="2:11">
      <c r="B14" s="16">
        <v>0</v>
      </c>
      <c r="C14" s="3">
        <v>23.7</v>
      </c>
      <c r="D14" s="3">
        <v>100</v>
      </c>
      <c r="E14" s="3">
        <v>533638</v>
      </c>
      <c r="F14" s="2">
        <f t="shared" ref="F14:F20" si="0">(E14-7288.3)/54174</f>
        <v>9.7159098460516109</v>
      </c>
      <c r="G14" s="32">
        <f t="shared" ref="G14:G20" si="1">($F$14-F14)/$F$14*100</f>
        <v>0</v>
      </c>
      <c r="J14" s="24" t="s">
        <v>135</v>
      </c>
      <c r="K14" s="23">
        <v>6.12</v>
      </c>
    </row>
    <row r="15" spans="2:11" ht="15.75" thickBot="1">
      <c r="B15" s="16">
        <v>5</v>
      </c>
      <c r="C15" s="3">
        <v>24.9</v>
      </c>
      <c r="D15" s="3">
        <v>100</v>
      </c>
      <c r="E15" s="3">
        <v>501331</v>
      </c>
      <c r="F15" s="2">
        <f t="shared" si="0"/>
        <v>9.1195536604275116</v>
      </c>
      <c r="G15" s="32">
        <f t="shared" si="1"/>
        <v>6.137934532878039</v>
      </c>
      <c r="J15" s="22" t="s">
        <v>136</v>
      </c>
      <c r="K15" s="21">
        <v>3.88</v>
      </c>
    </row>
    <row r="16" spans="2:11" ht="15.75" thickBot="1">
      <c r="B16" s="16">
        <v>15</v>
      </c>
      <c r="C16" s="3">
        <v>24.6</v>
      </c>
      <c r="D16" s="3">
        <v>100</v>
      </c>
      <c r="E16" s="3">
        <v>426180</v>
      </c>
      <c r="F16" s="2">
        <f t="shared" si="0"/>
        <v>7.7323383911101269</v>
      </c>
      <c r="G16" s="32">
        <f t="shared" si="1"/>
        <v>20.415704616151576</v>
      </c>
    </row>
    <row r="17" spans="2:11">
      <c r="B17" s="16">
        <v>30</v>
      </c>
      <c r="C17" s="3">
        <v>23.3</v>
      </c>
      <c r="D17" s="3">
        <v>100</v>
      </c>
      <c r="E17" s="3">
        <v>361968</v>
      </c>
      <c r="F17" s="2">
        <f t="shared" si="0"/>
        <v>6.5470465536973457</v>
      </c>
      <c r="G17" s="32">
        <f t="shared" si="1"/>
        <v>32.61519860275402</v>
      </c>
      <c r="J17" s="20" t="s">
        <v>137</v>
      </c>
      <c r="K17" s="19">
        <v>3.0030000000000001</v>
      </c>
    </row>
    <row r="18" spans="2:11" ht="15.75" thickBot="1">
      <c r="B18" s="16">
        <v>45</v>
      </c>
      <c r="C18" s="3">
        <v>23.5</v>
      </c>
      <c r="D18" s="3">
        <v>100</v>
      </c>
      <c r="E18" s="3">
        <v>259621</v>
      </c>
      <c r="F18" s="2">
        <f t="shared" si="0"/>
        <v>4.6578192490862778</v>
      </c>
      <c r="G18" s="32">
        <f t="shared" si="1"/>
        <v>52.059875782203349</v>
      </c>
      <c r="J18" s="18" t="s">
        <v>138</v>
      </c>
      <c r="K18" s="17">
        <v>3.1960000000000002</v>
      </c>
    </row>
    <row r="19" spans="2:11">
      <c r="B19" s="16">
        <v>60</v>
      </c>
      <c r="C19" s="3">
        <v>24.2</v>
      </c>
      <c r="D19" s="3">
        <v>100</v>
      </c>
      <c r="E19" s="3">
        <v>195307</v>
      </c>
      <c r="F19" s="2">
        <f t="shared" si="0"/>
        <v>3.4706445896555547</v>
      </c>
      <c r="G19" s="32">
        <f t="shared" si="1"/>
        <v>64.278748520232824</v>
      </c>
    </row>
    <row r="20" spans="2:11" ht="15.75" thickBot="1">
      <c r="B20" s="14">
        <v>90</v>
      </c>
      <c r="C20" s="13">
        <v>24.1</v>
      </c>
      <c r="D20" s="13">
        <v>100</v>
      </c>
      <c r="E20" s="13">
        <v>131948</v>
      </c>
      <c r="F20" s="12">
        <f t="shared" si="0"/>
        <v>2.3010983128437994</v>
      </c>
      <c r="G20" s="31">
        <f t="shared" si="1"/>
        <v>76.316182948332639</v>
      </c>
    </row>
  </sheetData>
  <mergeCells count="8">
    <mergeCell ref="H7:H9"/>
    <mergeCell ref="E7:E9"/>
    <mergeCell ref="I7:I9"/>
    <mergeCell ref="B7:B9"/>
    <mergeCell ref="C7:C9"/>
    <mergeCell ref="D7:D9"/>
    <mergeCell ref="F7:F9"/>
    <mergeCell ref="G7:G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5F681D93C13E84F8E85D1B8C24689CF" ma:contentTypeVersion="11" ma:contentTypeDescription="Crear nuevo documento." ma:contentTypeScope="" ma:versionID="8381ec61749bce38147d98a3dc601a49">
  <xsd:schema xmlns:xsd="http://www.w3.org/2001/XMLSchema" xmlns:xs="http://www.w3.org/2001/XMLSchema" xmlns:p="http://schemas.microsoft.com/office/2006/metadata/properties" xmlns:ns2="658a9569-0ce1-42cd-9d04-c3f1f5b9a174" xmlns:ns3="cc1733c5-517f-4419-9652-4c25b19977e7" targetNamespace="http://schemas.microsoft.com/office/2006/metadata/properties" ma:root="true" ma:fieldsID="0b47490e6a20afce16bb04a4b4632b32" ns2:_="" ns3:_="">
    <xsd:import namespace="658a9569-0ce1-42cd-9d04-c3f1f5b9a174"/>
    <xsd:import namespace="cc1733c5-517f-4419-9652-4c25b19977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8a9569-0ce1-42cd-9d04-c3f1f5b9a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9842ecb2-9fd7-4b7d-9140-4ee1ebb34b34"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BillingMetadata" ma:index="1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1733c5-517f-4419-9652-4c25b19977e7"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a9d7ae3-f3ae-4489-beed-7c72fe58cc79}" ma:internalName="TaxCatchAll" ma:showField="CatchAllData" ma:web="cc1733c5-517f-4419-9652-4c25b19977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c1733c5-517f-4419-9652-4c25b19977e7" xsi:nil="true"/>
    <lcf76f155ced4ddcb4097134ff3c332f xmlns="658a9569-0ce1-42cd-9d04-c3f1f5b9a17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11F35C-2D22-4783-9B93-88D5B879986F}"/>
</file>

<file path=customXml/itemProps2.xml><?xml version="1.0" encoding="utf-8"?>
<ds:datastoreItem xmlns:ds="http://schemas.openxmlformats.org/officeDocument/2006/customXml" ds:itemID="{1A98C7D2-8334-443E-B608-B2BB890131CB}"/>
</file>

<file path=customXml/itemProps3.xml><?xml version="1.0" encoding="utf-8"?>
<ds:datastoreItem xmlns:ds="http://schemas.openxmlformats.org/officeDocument/2006/customXml" ds:itemID="{C15AD8B8-6416-411F-8144-3DD0CE5ECFF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barbara lomba</dc:creator>
  <cp:keywords/>
  <dc:description/>
  <cp:lastModifiedBy>Barbara Lomba Fernandez</cp:lastModifiedBy>
  <cp:revision/>
  <dcterms:created xsi:type="dcterms:W3CDTF">2023-09-18T08:27:19Z</dcterms:created>
  <dcterms:modified xsi:type="dcterms:W3CDTF">2025-05-15T11:23:05Z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0x01010015F681D93C13E84F8E85D1B8C24689CF</vt:lpwstr>
  </property>
  <property fmtid="{D5CDD505-2E9C-101B-9397-08002B2CF9AE}" pid="3" name="MediaServiceImageTags">
    <vt:lpwstr/>
  </property>
</Properties>
</file>